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ick\Desktop\Desktop\References for NACFE MD BEV Report\Calculators BEV\NACFE MD CBEV TCO Calculator\TCO Testing 042019\"/>
    </mc:Choice>
  </mc:AlternateContent>
  <bookViews>
    <workbookView xWindow="0" yWindow="0" windowWidth="15345" windowHeight="6705"/>
  </bookViews>
  <sheets>
    <sheet name="User Guide" sheetId="3" r:id="rId1"/>
    <sheet name="TCO Calculator Inputs" sheetId="5" r:id="rId2"/>
    <sheet name="TCO Calculator Outputs" sheetId="10" r:id="rId3"/>
    <sheet name="DutyCycles" sheetId="11" r:id="rId4"/>
    <sheet name="Look Up Values" sheetId="6"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5" l="1"/>
  <c r="F5" i="5"/>
  <c r="E30" i="5"/>
  <c r="C5" i="10"/>
  <c r="F4" i="5"/>
  <c r="B3" i="5"/>
  <c r="B3" i="10"/>
  <c r="B2" i="6"/>
  <c r="C3" i="11"/>
  <c r="E12" i="5"/>
  <c r="C13" i="5"/>
  <c r="E13" i="5"/>
  <c r="C50" i="5"/>
  <c r="E50" i="5"/>
  <c r="E23" i="5"/>
  <c r="E68" i="5"/>
  <c r="E70" i="5"/>
  <c r="E55" i="5"/>
  <c r="E39" i="5"/>
  <c r="E65" i="5"/>
  <c r="E63" i="5"/>
  <c r="C47" i="10"/>
  <c r="E54" i="5"/>
  <c r="E53" i="5"/>
  <c r="E51" i="5"/>
  <c r="E43" i="5"/>
  <c r="E28" i="5"/>
  <c r="E69" i="5"/>
  <c r="E26" i="5"/>
  <c r="C49" i="5"/>
  <c r="E49" i="5"/>
  <c r="E20" i="5"/>
  <c r="E38" i="5"/>
  <c r="E37" i="5"/>
  <c r="E60" i="5"/>
  <c r="E59" i="5"/>
  <c r="E58" i="5"/>
  <c r="E57" i="5"/>
  <c r="E56" i="5"/>
  <c r="E52" i="5"/>
  <c r="E24" i="5"/>
  <c r="E22" i="5"/>
  <c r="E64" i="5"/>
  <c r="E47" i="5"/>
  <c r="E48" i="5"/>
  <c r="E46" i="5"/>
  <c r="E45" i="5"/>
  <c r="E42" i="5"/>
  <c r="E40" i="5"/>
  <c r="E35" i="5"/>
  <c r="E36" i="5"/>
  <c r="E32" i="5"/>
  <c r="E31" i="5"/>
  <c r="E19" i="5"/>
  <c r="E21" i="5"/>
  <c r="E25" i="5"/>
  <c r="E27" i="5"/>
  <c r="E29" i="5"/>
  <c r="E9" i="5"/>
  <c r="C14" i="5"/>
  <c r="C41" i="5"/>
  <c r="E41" i="5"/>
  <c r="C16" i="5"/>
  <c r="E16" i="5"/>
  <c r="B40" i="10"/>
  <c r="B39" i="10"/>
  <c r="B38" i="10"/>
  <c r="B41" i="10"/>
  <c r="B37" i="10"/>
  <c r="C36" i="10"/>
  <c r="C19" i="10"/>
  <c r="D11" i="10"/>
  <c r="D27" i="10"/>
  <c r="C76" i="10"/>
  <c r="C77" i="10" s="1"/>
  <c r="C78" i="10" s="1"/>
  <c r="E14" i="5"/>
  <c r="C15" i="5"/>
  <c r="E15" i="5"/>
  <c r="C44" i="5"/>
  <c r="E44" i="5"/>
  <c r="D51" i="10" l="1"/>
  <c r="C48" i="10"/>
  <c r="D49" i="10"/>
  <c r="D50" i="10" s="1"/>
  <c r="D23" i="10"/>
  <c r="C20" i="10"/>
  <c r="D15" i="10"/>
  <c r="D31" i="10" s="1"/>
  <c r="D21" i="10"/>
  <c r="D22" i="10" s="1"/>
  <c r="C13" i="10"/>
  <c r="C29" i="10"/>
  <c r="D40" i="10"/>
  <c r="E11" i="10"/>
  <c r="E27" i="10"/>
  <c r="D43" i="10"/>
  <c r="D42" i="10"/>
  <c r="D45" i="10"/>
  <c r="D44" i="10"/>
  <c r="D46" i="10"/>
  <c r="D39" i="10"/>
  <c r="D37" i="10"/>
  <c r="D30" i="10"/>
  <c r="D38" i="10"/>
  <c r="D41" i="10"/>
  <c r="D47" i="10"/>
  <c r="D36" i="10"/>
  <c r="D33" i="10"/>
  <c r="D14" i="10"/>
  <c r="D19" i="10"/>
  <c r="D16" i="10"/>
  <c r="D32" i="10"/>
  <c r="E51" i="10" l="1"/>
  <c r="E49" i="10"/>
  <c r="E50" i="10" s="1"/>
  <c r="C12" i="10"/>
  <c r="E23" i="10"/>
  <c r="C28" i="10"/>
  <c r="E15" i="10"/>
  <c r="E31" i="10" s="1"/>
  <c r="E21" i="10"/>
  <c r="E22" i="10" s="1"/>
  <c r="E41" i="10"/>
  <c r="E40" i="10"/>
  <c r="E14" i="10"/>
  <c r="F11" i="10"/>
  <c r="F21" i="10" s="1"/>
  <c r="E19" i="10"/>
  <c r="E30" i="10"/>
  <c r="E39" i="10"/>
  <c r="E42" i="10"/>
  <c r="E43" i="10"/>
  <c r="E46" i="10"/>
  <c r="F27" i="10"/>
  <c r="F49" i="10" s="1"/>
  <c r="E16" i="10"/>
  <c r="E33" i="10"/>
  <c r="E38" i="10"/>
  <c r="E45" i="10"/>
  <c r="E37" i="10"/>
  <c r="E44" i="10"/>
  <c r="E36" i="10"/>
  <c r="E32" i="10"/>
  <c r="E47" i="10"/>
  <c r="D28" i="10"/>
  <c r="D12" i="10"/>
  <c r="F23" i="10" l="1"/>
  <c r="F51" i="10"/>
  <c r="F15" i="10"/>
  <c r="F31" i="10" s="1"/>
  <c r="F22" i="10"/>
  <c r="F50" i="10"/>
  <c r="F36" i="10"/>
  <c r="G11" i="10"/>
  <c r="G21" i="10" s="1"/>
  <c r="F19" i="10"/>
  <c r="F16" i="10"/>
  <c r="F33" i="10"/>
  <c r="F14" i="10"/>
  <c r="F43" i="10"/>
  <c r="E12" i="10"/>
  <c r="F44" i="10"/>
  <c r="F40" i="10"/>
  <c r="F37" i="10"/>
  <c r="G27" i="10"/>
  <c r="G49" i="10" s="1"/>
  <c r="F41" i="10"/>
  <c r="F47" i="10"/>
  <c r="F38" i="10"/>
  <c r="F46" i="10"/>
  <c r="F39" i="10"/>
  <c r="F42" i="10"/>
  <c r="F32" i="10"/>
  <c r="F30" i="10"/>
  <c r="F45" i="10"/>
  <c r="E28" i="10"/>
  <c r="G23" i="10" l="1"/>
  <c r="G51" i="10"/>
  <c r="G15" i="10"/>
  <c r="G31" i="10" s="1"/>
  <c r="G22" i="10"/>
  <c r="G50" i="10"/>
  <c r="G42" i="10"/>
  <c r="G19" i="10"/>
  <c r="G33" i="10"/>
  <c r="G14" i="10"/>
  <c r="G16" i="10"/>
  <c r="H11" i="10"/>
  <c r="H21" i="10" s="1"/>
  <c r="F12" i="10"/>
  <c r="G47" i="10"/>
  <c r="G30" i="10"/>
  <c r="G37" i="10"/>
  <c r="G39" i="10"/>
  <c r="G38" i="10"/>
  <c r="G36" i="10"/>
  <c r="G40" i="10"/>
  <c r="H27" i="10"/>
  <c r="H49" i="10" s="1"/>
  <c r="G44" i="10"/>
  <c r="G32" i="10"/>
  <c r="G43" i="10"/>
  <c r="G41" i="10"/>
  <c r="G45" i="10"/>
  <c r="G46" i="10"/>
  <c r="F28" i="10"/>
  <c r="H23" i="10" l="1"/>
  <c r="H51" i="10"/>
  <c r="H50" i="10"/>
  <c r="H15" i="10"/>
  <c r="H31" i="10" s="1"/>
  <c r="H22" i="10"/>
  <c r="H16" i="10"/>
  <c r="I11" i="10"/>
  <c r="I21" i="10" s="1"/>
  <c r="I27" i="10"/>
  <c r="I49" i="10" s="1"/>
  <c r="H19" i="10"/>
  <c r="H33" i="10"/>
  <c r="H14" i="10"/>
  <c r="G12" i="10"/>
  <c r="H44" i="10"/>
  <c r="H45" i="10"/>
  <c r="H47" i="10"/>
  <c r="H36" i="10"/>
  <c r="H39" i="10"/>
  <c r="H30" i="10"/>
  <c r="H32" i="10"/>
  <c r="H37" i="10"/>
  <c r="H46" i="10"/>
  <c r="H40" i="10"/>
  <c r="H38" i="10"/>
  <c r="H41" i="10"/>
  <c r="H43" i="10"/>
  <c r="H42" i="10"/>
  <c r="G28" i="10"/>
  <c r="I23" i="10" l="1"/>
  <c r="I51" i="10"/>
  <c r="I42" i="10"/>
  <c r="I50" i="10"/>
  <c r="I15" i="10"/>
  <c r="I31" i="10" s="1"/>
  <c r="I22" i="10"/>
  <c r="I16" i="10"/>
  <c r="I14" i="10"/>
  <c r="J11" i="10"/>
  <c r="J21" i="10" s="1"/>
  <c r="I19" i="10"/>
  <c r="I33" i="10"/>
  <c r="I47" i="10"/>
  <c r="I41" i="10"/>
  <c r="I30" i="10"/>
  <c r="I40" i="10"/>
  <c r="J27" i="10"/>
  <c r="J49" i="10" s="1"/>
  <c r="I43" i="10"/>
  <c r="I45" i="10"/>
  <c r="I44" i="10"/>
  <c r="I32" i="10"/>
  <c r="I38" i="10"/>
  <c r="I37" i="10"/>
  <c r="I39" i="10"/>
  <c r="I36" i="10"/>
  <c r="I46" i="10"/>
  <c r="H12" i="10"/>
  <c r="H28" i="10"/>
  <c r="J23" i="10" l="1"/>
  <c r="J51" i="10"/>
  <c r="J40" i="10"/>
  <c r="J50" i="10"/>
  <c r="J15" i="10"/>
  <c r="J31" i="10" s="1"/>
  <c r="J22" i="10"/>
  <c r="J14" i="10"/>
  <c r="J16" i="10"/>
  <c r="J19" i="10"/>
  <c r="J33" i="10"/>
  <c r="I12" i="10"/>
  <c r="K11" i="10"/>
  <c r="K21" i="10" s="1"/>
  <c r="J43" i="10"/>
  <c r="J36" i="10"/>
  <c r="J32" i="10"/>
  <c r="J41" i="10"/>
  <c r="J37" i="10"/>
  <c r="J42" i="10"/>
  <c r="J44" i="10"/>
  <c r="J38" i="10"/>
  <c r="J30" i="10"/>
  <c r="J46" i="10"/>
  <c r="J47" i="10"/>
  <c r="K27" i="10"/>
  <c r="K49" i="10" s="1"/>
  <c r="J45" i="10"/>
  <c r="J39" i="10"/>
  <c r="I28" i="10"/>
  <c r="K23" i="10" l="1"/>
  <c r="K51" i="10"/>
  <c r="K44" i="10"/>
  <c r="K50" i="10"/>
  <c r="K15" i="10"/>
  <c r="K31" i="10" s="1"/>
  <c r="K22" i="10"/>
  <c r="J12" i="10"/>
  <c r="K42" i="10"/>
  <c r="K16" i="10"/>
  <c r="K33" i="10"/>
  <c r="K19" i="10"/>
  <c r="K14" i="10"/>
  <c r="L11" i="10"/>
  <c r="L21" i="10" s="1"/>
  <c r="K47" i="10"/>
  <c r="K39" i="10"/>
  <c r="K36" i="10"/>
  <c r="J28" i="10"/>
  <c r="K38" i="10"/>
  <c r="K37" i="10"/>
  <c r="K41" i="10"/>
  <c r="K30" i="10"/>
  <c r="K32" i="10"/>
  <c r="L27" i="10"/>
  <c r="L49" i="10" s="1"/>
  <c r="K45" i="10"/>
  <c r="K46" i="10"/>
  <c r="K40" i="10"/>
  <c r="K43" i="10"/>
  <c r="L23" i="10" l="1"/>
  <c r="L51" i="10"/>
  <c r="L32" i="10"/>
  <c r="L50" i="10"/>
  <c r="L15" i="10"/>
  <c r="L31" i="10" s="1"/>
  <c r="L22" i="10"/>
  <c r="M11" i="10"/>
  <c r="M21" i="10" s="1"/>
  <c r="L16" i="10"/>
  <c r="L33" i="10"/>
  <c r="L19" i="10"/>
  <c r="K12" i="10"/>
  <c r="L14" i="10"/>
  <c r="L37" i="10"/>
  <c r="L43" i="10"/>
  <c r="L38" i="10"/>
  <c r="L39" i="10"/>
  <c r="L30" i="10"/>
  <c r="L41" i="10"/>
  <c r="L46" i="10"/>
  <c r="L40" i="10"/>
  <c r="L45" i="10"/>
  <c r="M27" i="10"/>
  <c r="M49" i="10" s="1"/>
  <c r="L36" i="10"/>
  <c r="K28" i="10"/>
  <c r="L42" i="10"/>
  <c r="L47" i="10"/>
  <c r="L44" i="10"/>
  <c r="M23" i="10" l="1"/>
  <c r="M51" i="10"/>
  <c r="M15" i="10"/>
  <c r="M31" i="10" s="1"/>
  <c r="M22" i="10"/>
  <c r="M30" i="10"/>
  <c r="M50" i="10"/>
  <c r="M19" i="10"/>
  <c r="N11" i="10"/>
  <c r="N21" i="10" s="1"/>
  <c r="M16" i="10"/>
  <c r="M14" i="10"/>
  <c r="M33" i="10"/>
  <c r="L12" i="10"/>
  <c r="M32" i="10"/>
  <c r="N27" i="10"/>
  <c r="N49" i="10" s="1"/>
  <c r="M39" i="10"/>
  <c r="M36" i="10"/>
  <c r="M38" i="10"/>
  <c r="M41" i="10"/>
  <c r="M44" i="10"/>
  <c r="M45" i="10"/>
  <c r="M47" i="10"/>
  <c r="M46" i="10"/>
  <c r="M42" i="10"/>
  <c r="M37" i="10"/>
  <c r="L28" i="10"/>
  <c r="M40" i="10"/>
  <c r="M43" i="10"/>
  <c r="N23" i="10" l="1"/>
  <c r="N51" i="10"/>
  <c r="N15" i="10"/>
  <c r="N41" i="10"/>
  <c r="N50" i="10"/>
  <c r="N22" i="10"/>
  <c r="N28" i="10"/>
  <c r="N33" i="10"/>
  <c r="N12" i="10"/>
  <c r="N14" i="10"/>
  <c r="O11" i="10"/>
  <c r="O21" i="10" s="1"/>
  <c r="N16" i="10"/>
  <c r="N19" i="10"/>
  <c r="M12" i="10"/>
  <c r="N42" i="10"/>
  <c r="N31" i="10"/>
  <c r="N44" i="10"/>
  <c r="N38" i="10"/>
  <c r="N39" i="10"/>
  <c r="N45" i="10"/>
  <c r="N40" i="10"/>
  <c r="N37" i="10"/>
  <c r="N30" i="10"/>
  <c r="N32" i="10"/>
  <c r="O27" i="10"/>
  <c r="O49" i="10" s="1"/>
  <c r="N47" i="10"/>
  <c r="N43" i="10"/>
  <c r="N46" i="10"/>
  <c r="N36" i="10"/>
  <c r="M28" i="10"/>
  <c r="O23" i="10" l="1"/>
  <c r="O51" i="10"/>
  <c r="O31" i="10"/>
  <c r="O22" i="10"/>
  <c r="O50" i="10"/>
  <c r="O15" i="10"/>
  <c r="O14" i="10"/>
  <c r="P11" i="10"/>
  <c r="P21" i="10" s="1"/>
  <c r="O19" i="10"/>
  <c r="O28" i="10"/>
  <c r="O12" i="10"/>
  <c r="O33" i="10"/>
  <c r="O16" i="10"/>
  <c r="O44" i="10"/>
  <c r="O32" i="10"/>
  <c r="O38" i="10"/>
  <c r="P27" i="10"/>
  <c r="P49" i="10" s="1"/>
  <c r="O37" i="10"/>
  <c r="O42" i="10"/>
  <c r="O47" i="10"/>
  <c r="O45" i="10"/>
  <c r="O39" i="10"/>
  <c r="O40" i="10"/>
  <c r="O43" i="10"/>
  <c r="O30" i="10"/>
  <c r="O46" i="10"/>
  <c r="O41" i="10"/>
  <c r="O36" i="10"/>
  <c r="P23" i="10" l="1"/>
  <c r="P51" i="10"/>
  <c r="P15" i="10"/>
  <c r="P36" i="10"/>
  <c r="P22" i="10"/>
  <c r="P50" i="10"/>
  <c r="P12" i="10"/>
  <c r="P16" i="10"/>
  <c r="P28" i="10"/>
  <c r="P19" i="10"/>
  <c r="Q11" i="10"/>
  <c r="Q21" i="10" s="1"/>
  <c r="P33" i="10"/>
  <c r="P14" i="10"/>
  <c r="P32" i="10"/>
  <c r="P46" i="10"/>
  <c r="P30" i="10"/>
  <c r="Q27" i="10"/>
  <c r="Q49" i="10" s="1"/>
  <c r="P38" i="10"/>
  <c r="P31" i="10"/>
  <c r="P42" i="10"/>
  <c r="P40" i="10"/>
  <c r="P44" i="10"/>
  <c r="P47" i="10"/>
  <c r="P41" i="10"/>
  <c r="P37" i="10"/>
  <c r="P43" i="10"/>
  <c r="P39" i="10"/>
  <c r="P45" i="10"/>
  <c r="Q23" i="10" l="1"/>
  <c r="Q51" i="10"/>
  <c r="Q15" i="10"/>
  <c r="Q43" i="10"/>
  <c r="Q22" i="10"/>
  <c r="Q50" i="10"/>
  <c r="Q12" i="10"/>
  <c r="Q16" i="10"/>
  <c r="R11" i="10"/>
  <c r="Q28" i="10"/>
  <c r="Q33" i="10"/>
  <c r="Q14" i="10"/>
  <c r="Q19" i="10"/>
  <c r="Q39" i="10"/>
  <c r="Q32" i="10"/>
  <c r="Q46" i="10"/>
  <c r="Q45" i="10"/>
  <c r="R27" i="10"/>
  <c r="R49" i="10" s="1"/>
  <c r="Q30" i="10"/>
  <c r="Q41" i="10"/>
  <c r="Q44" i="10"/>
  <c r="Q42" i="10"/>
  <c r="Q38" i="10"/>
  <c r="Q40" i="10"/>
  <c r="Q37" i="10"/>
  <c r="Q47" i="10"/>
  <c r="Q36" i="10"/>
  <c r="Q31" i="10"/>
  <c r="R23" i="10" l="1"/>
  <c r="R51" i="10"/>
  <c r="R12" i="10"/>
  <c r="R21" i="10"/>
  <c r="R28" i="10"/>
  <c r="R31" i="10"/>
  <c r="R22" i="10"/>
  <c r="R50" i="10"/>
  <c r="R15" i="10"/>
  <c r="R14" i="10"/>
  <c r="R33" i="10"/>
  <c r="R19" i="10"/>
  <c r="R16" i="10"/>
  <c r="S11" i="10"/>
  <c r="R32" i="10"/>
  <c r="R39" i="10"/>
  <c r="R40" i="10"/>
  <c r="R41" i="10"/>
  <c r="R43" i="10"/>
  <c r="R37" i="10"/>
  <c r="R30" i="10"/>
  <c r="R42" i="10"/>
  <c r="R45" i="10"/>
  <c r="R36" i="10"/>
  <c r="R38" i="10"/>
  <c r="R46" i="10"/>
  <c r="R47" i="10"/>
  <c r="R44" i="10"/>
  <c r="S27" i="10"/>
  <c r="S49" i="10" s="1"/>
  <c r="S23" i="10" l="1"/>
  <c r="S51" i="10"/>
  <c r="S12" i="10"/>
  <c r="S21" i="10"/>
  <c r="S19" i="10"/>
  <c r="S15" i="10"/>
  <c r="S31" i="10"/>
  <c r="S22" i="10"/>
  <c r="S50" i="10"/>
  <c r="S33" i="10"/>
  <c r="T11" i="10"/>
  <c r="S14" i="10"/>
  <c r="S16" i="10"/>
  <c r="S28" i="10"/>
  <c r="S37" i="10"/>
  <c r="S40" i="10"/>
  <c r="S42" i="10"/>
  <c r="S32" i="10"/>
  <c r="S39" i="10"/>
  <c r="S36" i="10"/>
  <c r="S38" i="10"/>
  <c r="S43" i="10"/>
  <c r="T27" i="10"/>
  <c r="T49" i="10" s="1"/>
  <c r="S45" i="10"/>
  <c r="S46" i="10"/>
  <c r="S30" i="10"/>
  <c r="S41" i="10"/>
  <c r="S47" i="10"/>
  <c r="S44" i="10"/>
  <c r="T23" i="10" l="1"/>
  <c r="T51" i="10"/>
  <c r="T16" i="10"/>
  <c r="T21" i="10"/>
  <c r="T28" i="10"/>
  <c r="T14" i="10"/>
  <c r="T33" i="10"/>
  <c r="U11" i="10"/>
  <c r="U21" i="10" s="1"/>
  <c r="T12" i="10"/>
  <c r="T19" i="10"/>
  <c r="T15" i="10"/>
  <c r="T31" i="10"/>
  <c r="T22" i="10"/>
  <c r="T50" i="10"/>
  <c r="T47" i="10"/>
  <c r="T46" i="10"/>
  <c r="T38" i="10"/>
  <c r="T44" i="10"/>
  <c r="T45" i="10"/>
  <c r="T39" i="10"/>
  <c r="T41" i="10"/>
  <c r="T36" i="10"/>
  <c r="T43" i="10"/>
  <c r="T30" i="10"/>
  <c r="T42" i="10"/>
  <c r="T32" i="10"/>
  <c r="T40" i="10"/>
  <c r="U27" i="10"/>
  <c r="U49" i="10" s="1"/>
  <c r="T37" i="10"/>
  <c r="U33" i="10" l="1"/>
  <c r="U14" i="10"/>
  <c r="U23" i="10"/>
  <c r="U51" i="10"/>
  <c r="U15" i="10"/>
  <c r="U19" i="10"/>
  <c r="U28" i="10"/>
  <c r="U16" i="10"/>
  <c r="U12" i="10"/>
  <c r="V11" i="10"/>
  <c r="V16" i="10" s="1"/>
  <c r="U37" i="10"/>
  <c r="U22" i="10"/>
  <c r="U50" i="10"/>
  <c r="U43" i="10"/>
  <c r="U38" i="10"/>
  <c r="U31" i="10"/>
  <c r="U45" i="10"/>
  <c r="U41" i="10"/>
  <c r="U39" i="10"/>
  <c r="U30" i="10"/>
  <c r="U42" i="10"/>
  <c r="V27" i="10"/>
  <c r="V49" i="10" s="1"/>
  <c r="U40" i="10"/>
  <c r="U46" i="10"/>
  <c r="U36" i="10"/>
  <c r="U47" i="10"/>
  <c r="U32" i="10"/>
  <c r="U44" i="10"/>
  <c r="V23" i="10" l="1"/>
  <c r="V51" i="10"/>
  <c r="V15" i="10"/>
  <c r="V21" i="10"/>
  <c r="V33" i="10"/>
  <c r="W11" i="10"/>
  <c r="W21" i="10" s="1"/>
  <c r="V14" i="10"/>
  <c r="V28" i="10"/>
  <c r="V12" i="10"/>
  <c r="V19" i="10"/>
  <c r="V31" i="10"/>
  <c r="V22" i="10"/>
  <c r="V50" i="10"/>
  <c r="V44" i="10"/>
  <c r="V42" i="10"/>
  <c r="V38" i="10"/>
  <c r="V40" i="10"/>
  <c r="V45" i="10"/>
  <c r="V41" i="10"/>
  <c r="V46" i="10"/>
  <c r="V43" i="10"/>
  <c r="V32" i="10"/>
  <c r="V47" i="10"/>
  <c r="V36" i="10"/>
  <c r="W27" i="10"/>
  <c r="W49" i="10" s="1"/>
  <c r="V37" i="10"/>
  <c r="V39" i="10"/>
  <c r="V30" i="10"/>
  <c r="W23" i="10" l="1"/>
  <c r="W51" i="10"/>
  <c r="W16" i="10"/>
  <c r="W19" i="10"/>
  <c r="W28" i="10"/>
  <c r="W12" i="10"/>
  <c r="X11" i="10"/>
  <c r="X21" i="10" s="1"/>
  <c r="W15" i="10"/>
  <c r="W33" i="10"/>
  <c r="W14" i="10"/>
  <c r="W31" i="10"/>
  <c r="W22" i="10"/>
  <c r="W50" i="10"/>
  <c r="W37" i="10"/>
  <c r="W39" i="10"/>
  <c r="W30" i="10"/>
  <c r="W32" i="10"/>
  <c r="W42" i="10"/>
  <c r="W45" i="10"/>
  <c r="W36" i="10"/>
  <c r="W38" i="10"/>
  <c r="X27" i="10"/>
  <c r="X49" i="10" s="1"/>
  <c r="W46" i="10"/>
  <c r="W43" i="10"/>
  <c r="W47" i="10"/>
  <c r="W41" i="10"/>
  <c r="W44" i="10"/>
  <c r="W40" i="10"/>
  <c r="X23" i="10" l="1"/>
  <c r="X51" i="10"/>
  <c r="X19" i="10"/>
  <c r="X14" i="10"/>
  <c r="X28" i="10"/>
  <c r="X16" i="10"/>
  <c r="X12" i="10"/>
  <c r="X33" i="10"/>
  <c r="Y11" i="10"/>
  <c r="Y21" i="10" s="1"/>
  <c r="X15" i="10"/>
  <c r="X39" i="10"/>
  <c r="X50" i="10"/>
  <c r="X22" i="10"/>
  <c r="Y27" i="10"/>
  <c r="Y49" i="10" s="1"/>
  <c r="X46" i="10"/>
  <c r="X41" i="10"/>
  <c r="X38" i="10"/>
  <c r="X44" i="10"/>
  <c r="X40" i="10"/>
  <c r="X37" i="10"/>
  <c r="X43" i="10"/>
  <c r="X36" i="10"/>
  <c r="X32" i="10"/>
  <c r="X45" i="10"/>
  <c r="X42" i="10"/>
  <c r="X47" i="10"/>
  <c r="X31" i="10"/>
  <c r="X30" i="10"/>
  <c r="Y28" i="10" l="1"/>
  <c r="Y23" i="10"/>
  <c r="Y51" i="10"/>
  <c r="Z11" i="10"/>
  <c r="Z21" i="10" s="1"/>
  <c r="Y12" i="10"/>
  <c r="Y19" i="10"/>
  <c r="Y15" i="10"/>
  <c r="Y33" i="10"/>
  <c r="Y16" i="10"/>
  <c r="Y14" i="10"/>
  <c r="Y31" i="10"/>
  <c r="Y50" i="10"/>
  <c r="Y22" i="10"/>
  <c r="Y39" i="10"/>
  <c r="Y42" i="10"/>
  <c r="Y40" i="10"/>
  <c r="Y41" i="10"/>
  <c r="Y32" i="10"/>
  <c r="Y46" i="10"/>
  <c r="Y45" i="10"/>
  <c r="Y38" i="10"/>
  <c r="Y47" i="10"/>
  <c r="Z27" i="10"/>
  <c r="Z49" i="10" s="1"/>
  <c r="Y36" i="10"/>
  <c r="Y43" i="10"/>
  <c r="Y44" i="10"/>
  <c r="Y30" i="10"/>
  <c r="Y37" i="10"/>
  <c r="Z16" i="10" l="1"/>
  <c r="Z33" i="10"/>
  <c r="Z14" i="10"/>
  <c r="Z12" i="10"/>
  <c r="Z15" i="10"/>
  <c r="Z19" i="10"/>
  <c r="Z23" i="10"/>
  <c r="Z51" i="10"/>
  <c r="AA11" i="10"/>
  <c r="AA21" i="10" s="1"/>
  <c r="Z28" i="10"/>
  <c r="Z31" i="10"/>
  <c r="Z22" i="10"/>
  <c r="Z50" i="10"/>
  <c r="Z37" i="10"/>
  <c r="Z38" i="10"/>
  <c r="Z46" i="10"/>
  <c r="Z43" i="10"/>
  <c r="AA27" i="10"/>
  <c r="AA49" i="10" s="1"/>
  <c r="Z36" i="10"/>
  <c r="Z45" i="10"/>
  <c r="Z47" i="10"/>
  <c r="Z40" i="10"/>
  <c r="Z39" i="10"/>
  <c r="Z30" i="10"/>
  <c r="Z32" i="10"/>
  <c r="Z44" i="10"/>
  <c r="Z41" i="10"/>
  <c r="Z42" i="10"/>
  <c r="AA28" i="10" l="1"/>
  <c r="AA16" i="10"/>
  <c r="AA12" i="10"/>
  <c r="AB11" i="10"/>
  <c r="AB21" i="10" s="1"/>
  <c r="AA33" i="10"/>
  <c r="AA14" i="10"/>
  <c r="AA19" i="10"/>
  <c r="AA23" i="10"/>
  <c r="AA51" i="10"/>
  <c r="AA44" i="10"/>
  <c r="AA15" i="10"/>
  <c r="AA31" i="10"/>
  <c r="AA22" i="10"/>
  <c r="AA50" i="10"/>
  <c r="AB27" i="10"/>
  <c r="AB49" i="10" s="1"/>
  <c r="AA32" i="10"/>
  <c r="AA40" i="10"/>
  <c r="AA43" i="10"/>
  <c r="AA36" i="10"/>
  <c r="AA39" i="10"/>
  <c r="AA38" i="10"/>
  <c r="AA42" i="10"/>
  <c r="AA30" i="10"/>
  <c r="AA47" i="10"/>
  <c r="AA37" i="10"/>
  <c r="AA45" i="10"/>
  <c r="AA46" i="10"/>
  <c r="AA41" i="10"/>
  <c r="AB28" i="10" l="1"/>
  <c r="AB33" i="10"/>
  <c r="AB19" i="10"/>
  <c r="AB14" i="10"/>
  <c r="AB16" i="10"/>
  <c r="AB15" i="10"/>
  <c r="AB12" i="10"/>
  <c r="AC11" i="10"/>
  <c r="AC21" i="10" s="1"/>
  <c r="AB23" i="10"/>
  <c r="AB51" i="10"/>
  <c r="AB31" i="10"/>
  <c r="AB22" i="10"/>
  <c r="AB50" i="10"/>
  <c r="AB47" i="10"/>
  <c r="AB46" i="10"/>
  <c r="AB45" i="10"/>
  <c r="AB37" i="10"/>
  <c r="AB42" i="10"/>
  <c r="AB36" i="10"/>
  <c r="AB38" i="10"/>
  <c r="AB43" i="10"/>
  <c r="AB30" i="10"/>
  <c r="AC27" i="10"/>
  <c r="AC49" i="10" s="1"/>
  <c r="AB32" i="10"/>
  <c r="AB40" i="10"/>
  <c r="AB44" i="10"/>
  <c r="AB41" i="10"/>
  <c r="AB39" i="10"/>
  <c r="AD11" i="10" l="1"/>
  <c r="AD21" i="10" s="1"/>
  <c r="AC16" i="10"/>
  <c r="AC28" i="10"/>
  <c r="AC12" i="10"/>
  <c r="AC14" i="10"/>
  <c r="AC33" i="10"/>
  <c r="AC19" i="10"/>
  <c r="AC15" i="10"/>
  <c r="AC23" i="10"/>
  <c r="AC51" i="10"/>
  <c r="AC31" i="10"/>
  <c r="AC22" i="10"/>
  <c r="AC50" i="10"/>
  <c r="AD27" i="10"/>
  <c r="AD49" i="10" s="1"/>
  <c r="AC36" i="10"/>
  <c r="AC47" i="10"/>
  <c r="AC41" i="10"/>
  <c r="AC39" i="10"/>
  <c r="AC45" i="10"/>
  <c r="AC40" i="10"/>
  <c r="AC37" i="10"/>
  <c r="AC44" i="10"/>
  <c r="AC46" i="10"/>
  <c r="AC30" i="10"/>
  <c r="AC38" i="10"/>
  <c r="AC42" i="10"/>
  <c r="AC32" i="10"/>
  <c r="AC43" i="10"/>
  <c r="AD16" i="10" l="1"/>
  <c r="AD14" i="10"/>
  <c r="AD28" i="10"/>
  <c r="AD12" i="10"/>
  <c r="AD15" i="10"/>
  <c r="AD19" i="10"/>
  <c r="AD33" i="10"/>
  <c r="AE11" i="10"/>
  <c r="AE21" i="10" s="1"/>
  <c r="AD23" i="10"/>
  <c r="AD51" i="10"/>
  <c r="AD31" i="10"/>
  <c r="AD22" i="10"/>
  <c r="AD50" i="10"/>
  <c r="AD46" i="10"/>
  <c r="AD36" i="10"/>
  <c r="AD41" i="10"/>
  <c r="AD44" i="10"/>
  <c r="AD37" i="10"/>
  <c r="AD38" i="10"/>
  <c r="AD30" i="10"/>
  <c r="AD32" i="10"/>
  <c r="AD42" i="10"/>
  <c r="AD45" i="10"/>
  <c r="AD40" i="10"/>
  <c r="AD47" i="10"/>
  <c r="AD39" i="10"/>
  <c r="AD43" i="10"/>
  <c r="AE27" i="10"/>
  <c r="AE49" i="10" s="1"/>
  <c r="AF11" i="10" l="1"/>
  <c r="AF21" i="10" s="1"/>
  <c r="AE33" i="10"/>
  <c r="AE15" i="10"/>
  <c r="AE14" i="10"/>
  <c r="AE28" i="10"/>
  <c r="AE16" i="10"/>
  <c r="AE12" i="10"/>
  <c r="AE19" i="10"/>
  <c r="AE23" i="10"/>
  <c r="AE51" i="10"/>
  <c r="AE39" i="10"/>
  <c r="AE46" i="10"/>
  <c r="AE32" i="10"/>
  <c r="AE31" i="10"/>
  <c r="AE22" i="10"/>
  <c r="AE50" i="10"/>
  <c r="AE44" i="10"/>
  <c r="AE41" i="10"/>
  <c r="AE43" i="10"/>
  <c r="AE38" i="10"/>
  <c r="AE37" i="10"/>
  <c r="AE47" i="10"/>
  <c r="AF27" i="10"/>
  <c r="AF49" i="10" s="1"/>
  <c r="AE42" i="10"/>
  <c r="AE45" i="10"/>
  <c r="AE36" i="10"/>
  <c r="AE30" i="10"/>
  <c r="AE40" i="10"/>
  <c r="AF14" i="10" l="1"/>
  <c r="AF28" i="10"/>
  <c r="AF16" i="10"/>
  <c r="AF15" i="10"/>
  <c r="AF19" i="10"/>
  <c r="AG11" i="10"/>
  <c r="AG21" i="10" s="1"/>
  <c r="AF12" i="10"/>
  <c r="AF33" i="10"/>
  <c r="AF23" i="10"/>
  <c r="AF51" i="10"/>
  <c r="AF38" i="10"/>
  <c r="AF37" i="10"/>
  <c r="AF36" i="10"/>
  <c r="AF30" i="10"/>
  <c r="AF45" i="10"/>
  <c r="AF47" i="10"/>
  <c r="AF39" i="10"/>
  <c r="AG27" i="10"/>
  <c r="AG49" i="10" s="1"/>
  <c r="AF44" i="10"/>
  <c r="AF22" i="10"/>
  <c r="AF50" i="10"/>
  <c r="AF46" i="10"/>
  <c r="AF41" i="10"/>
  <c r="AF32" i="10"/>
  <c r="AF31" i="10"/>
  <c r="AF40" i="10"/>
  <c r="AF42" i="10"/>
  <c r="AF43" i="10"/>
  <c r="AG28" i="10"/>
  <c r="C26" i="10" s="1"/>
  <c r="D6" i="10" s="1"/>
  <c r="G5" i="5" s="1"/>
  <c r="AG19" i="10"/>
  <c r="AG12" i="10" l="1"/>
  <c r="C10" i="10" s="1"/>
  <c r="C6" i="10" s="1"/>
  <c r="G4" i="5" s="1"/>
  <c r="AG14" i="10"/>
  <c r="AG15" i="10"/>
  <c r="AG33" i="10"/>
  <c r="AG16" i="10"/>
  <c r="AG23" i="10"/>
  <c r="AG51" i="10"/>
  <c r="AG50" i="10"/>
  <c r="AG30" i="10"/>
  <c r="AG39" i="10"/>
  <c r="AG36" i="10"/>
  <c r="AG47" i="10"/>
  <c r="AG43" i="10"/>
  <c r="AG46" i="10"/>
  <c r="AG44" i="10"/>
  <c r="AG37" i="10"/>
  <c r="AG41" i="10"/>
  <c r="AG32" i="10"/>
  <c r="AG45" i="10"/>
  <c r="AG38" i="10"/>
  <c r="AG42" i="10"/>
  <c r="AG22" i="10"/>
  <c r="AG40" i="10"/>
  <c r="AG31" i="10"/>
  <c r="E6" i="10" l="1"/>
  <c r="G6" i="5" s="1"/>
</calcChain>
</file>

<file path=xl/sharedStrings.xml><?xml version="1.0" encoding="utf-8"?>
<sst xmlns="http://schemas.openxmlformats.org/spreadsheetml/2006/main" count="281" uniqueCount="218">
  <si>
    <t>Food Delivery Truck (Class 3)</t>
  </si>
  <si>
    <t>Parcel Delivery Step Van (Class 4)</t>
  </si>
  <si>
    <t>Parcel Delivery Walk-In (Class 4)</t>
  </si>
  <si>
    <t>Linen Delivery Van (Class 5)</t>
  </si>
  <si>
    <t>Food Delivery Truck (Class 5)</t>
  </si>
  <si>
    <t>Parcel Delivery Truck (Class 6)</t>
  </si>
  <si>
    <t>Linen Delivery Step Van (Class 6)</t>
  </si>
  <si>
    <t>Linen Delivery Walk-In (Class 6)</t>
  </si>
  <si>
    <t>Pump to Wheel</t>
  </si>
  <si>
    <t>Well to Wheel</t>
  </si>
  <si>
    <t>Duty Cycle</t>
  </si>
  <si>
    <t>Diesel</t>
  </si>
  <si>
    <t>TCO Comparison Scope</t>
  </si>
  <si>
    <t>Baseline Diesel Truck Information</t>
  </si>
  <si>
    <t>Medium Duty Battery Electric Vehicle
TCO Calculator User Guide</t>
  </si>
  <si>
    <t>TCO Scope of Comparison</t>
  </si>
  <si>
    <t>Program Value</t>
  </si>
  <si>
    <t>Medium Duty Battery Electric Vehicle
TCO Calculator Look Up Values</t>
  </si>
  <si>
    <t>User Inputs</t>
  </si>
  <si>
    <t>Average fuel economy (MPG)</t>
  </si>
  <si>
    <t>Expected Vehicle Life (yr)</t>
  </si>
  <si>
    <t>Number of Vehicles to compare (#)</t>
  </si>
  <si>
    <t>Annual Maintenance &amp; Service Cost per Truck ($)</t>
  </si>
  <si>
    <t>Annual Insurance Cost per Truck ($)</t>
  </si>
  <si>
    <t>Expected Ownership Period (yr)</t>
  </si>
  <si>
    <t>Baseline Purchase Cost ($)</t>
  </si>
  <si>
    <t>Baseline Diesel/Gasoline Truck Information</t>
  </si>
  <si>
    <t>Fuel Type</t>
  </si>
  <si>
    <t>Keyed Baseline Details</t>
  </si>
  <si>
    <t>Baseline Fuel Type</t>
  </si>
  <si>
    <t>Gasoline</t>
  </si>
  <si>
    <t>Electric Vehicle Truck Information</t>
  </si>
  <si>
    <t>Current Cost Per Gallon</t>
  </si>
  <si>
    <t>Current Fuel Price ($/gal)</t>
  </si>
  <si>
    <t>Fuel Price Trend (projected % change per year)</t>
  </si>
  <si>
    <t>Current Electricty Price ($/kWh)</t>
  </si>
  <si>
    <t>Electricity Price Trend (% change per year)</t>
  </si>
  <si>
    <t>Expected Ownership Period (Years)</t>
  </si>
  <si>
    <t>Battery Low Cutoff (% of full capacity)</t>
  </si>
  <si>
    <t>New Battery Efficiency (kWh/mi)</t>
  </si>
  <si>
    <t>Expected Battery Life (Years to 80% of capacity)</t>
  </si>
  <si>
    <t>Cost of Charging Infrastucture per Truck (% of MSRP)</t>
  </si>
  <si>
    <t xml:space="preserve">Manufacturers Suggested Retail Price MSRP ($) </t>
  </si>
  <si>
    <t>Baseline Manufacturers Suggested Retail Price MSRP ($)</t>
  </si>
  <si>
    <t>Medium Duty Battery Electric Vehicle
TCO Calculator User Inputs</t>
  </si>
  <si>
    <t>Finance Information</t>
  </si>
  <si>
    <t>Lease</t>
  </si>
  <si>
    <t>Loan</t>
  </si>
  <si>
    <t>Type of Purchase</t>
  </si>
  <si>
    <t>Type of Vehicle Purchase</t>
  </si>
  <si>
    <t>Cash</t>
  </si>
  <si>
    <t>Discount Rate</t>
  </si>
  <si>
    <t>Value of Changes to Brand Image (% of MSRP)</t>
  </si>
  <si>
    <t>Value of Changes to Other Overhead Factors (% of MSRP)</t>
  </si>
  <si>
    <t>Food Delivery Truck
(Class 3)</t>
  </si>
  <si>
    <t xml:space="preserve"> Food Delivery Truck 
(Class 5)</t>
  </si>
  <si>
    <t>Parcel Delivery Walk In (Class 6)</t>
  </si>
  <si>
    <t>Linen Delivery Walk In (Class 6)</t>
  </si>
  <si>
    <t>Average Drive Disitance (mile/day)</t>
  </si>
  <si>
    <r>
      <t>Annual Travel Mileage</t>
    </r>
    <r>
      <rPr>
        <vertAlign val="superscript"/>
        <sz val="16"/>
        <color theme="1"/>
        <rFont val="Calibri"/>
        <family val="2"/>
        <scheme val="minor"/>
      </rPr>
      <t>a</t>
    </r>
  </si>
  <si>
    <t>Max Drive Distance (mile/day)</t>
  </si>
  <si>
    <r>
      <t>Average Drive Time (hr/day)</t>
    </r>
    <r>
      <rPr>
        <vertAlign val="superscript"/>
        <sz val="16"/>
        <color theme="1"/>
        <rFont val="Calibri"/>
        <family val="2"/>
        <scheme val="minor"/>
      </rPr>
      <t>b</t>
    </r>
  </si>
  <si>
    <r>
      <t>Max Drive Time (hr/day)</t>
    </r>
    <r>
      <rPr>
        <vertAlign val="superscript"/>
        <sz val="16"/>
        <color theme="1"/>
        <rFont val="Calibri"/>
        <family val="2"/>
        <scheme val="minor"/>
      </rPr>
      <t>b</t>
    </r>
  </si>
  <si>
    <r>
      <t>Average Vehicle On Time (hr/day)</t>
    </r>
    <r>
      <rPr>
        <vertAlign val="superscript"/>
        <sz val="16"/>
        <color theme="1"/>
        <rFont val="Calibri"/>
        <family val="2"/>
        <scheme val="minor"/>
      </rPr>
      <t>c</t>
    </r>
  </si>
  <si>
    <r>
      <t>Max Vehicle On Time (Hr/day)</t>
    </r>
    <r>
      <rPr>
        <vertAlign val="superscript"/>
        <sz val="16"/>
        <color theme="1"/>
        <rFont val="Calibri"/>
        <family val="2"/>
        <scheme val="minor"/>
      </rPr>
      <t>c</t>
    </r>
  </si>
  <si>
    <r>
      <t>Average Drive Speed (mph)</t>
    </r>
    <r>
      <rPr>
        <vertAlign val="superscript"/>
        <sz val="16"/>
        <color theme="1"/>
        <rFont val="Calibri"/>
        <family val="2"/>
        <scheme val="minor"/>
      </rPr>
      <t>b</t>
    </r>
  </si>
  <si>
    <r>
      <t>Max Drive Speed (mph)</t>
    </r>
    <r>
      <rPr>
        <vertAlign val="superscript"/>
        <sz val="16"/>
        <color theme="1"/>
        <rFont val="Calibri"/>
        <family val="2"/>
        <scheme val="minor"/>
      </rPr>
      <t>b</t>
    </r>
  </si>
  <si>
    <r>
      <t>Average Vehicle On Speed (mph)</t>
    </r>
    <r>
      <rPr>
        <vertAlign val="superscript"/>
        <sz val="16"/>
        <color theme="1"/>
        <rFont val="Calibri"/>
        <family val="2"/>
        <scheme val="minor"/>
      </rPr>
      <t>c</t>
    </r>
  </si>
  <si>
    <t>Average Stops per Mile</t>
  </si>
  <si>
    <t>Max Stops per Mile</t>
  </si>
  <si>
    <r>
      <t>Average Stops per Day</t>
    </r>
    <r>
      <rPr>
        <vertAlign val="superscript"/>
        <sz val="16"/>
        <color theme="1"/>
        <rFont val="Calibri"/>
        <family val="2"/>
        <scheme val="minor"/>
      </rPr>
      <t>d</t>
    </r>
  </si>
  <si>
    <r>
      <t>Max Stops per Day</t>
    </r>
    <r>
      <rPr>
        <vertAlign val="superscript"/>
        <sz val="16"/>
        <color theme="1"/>
        <rFont val="Calibri"/>
        <family val="2"/>
        <scheme val="minor"/>
      </rPr>
      <t>d</t>
    </r>
  </si>
  <si>
    <t>a: 1 year = 5*Ave Drive Distance/day * 52 weeks
b: Vehicle speed &gt;0
c: Vehicle speed ≥0
d: all duration stops</t>
  </si>
  <si>
    <t>Compiled from data from ORNL Gao, NREL Fleet DNA, CALSTART, FHWA</t>
  </si>
  <si>
    <t>Medium Duty Battery Electric Vehicle
TCO Calculator Outputs</t>
  </si>
  <si>
    <t>Duty Cycle Factor</t>
  </si>
  <si>
    <t xml:space="preserve">Annual Mileage </t>
  </si>
  <si>
    <t>Worst Case Daily Range vs. Average Range</t>
  </si>
  <si>
    <t>Average Daily Mileage</t>
  </si>
  <si>
    <t>Duty Cycle Factors</t>
  </si>
  <si>
    <t>Max Daily Mileage</t>
  </si>
  <si>
    <t>Battery Capacity Margin for Worst Case Daily Mileage (% of new full capacity)</t>
  </si>
  <si>
    <t>Estimated Battery Capacity Required (kWh)</t>
  </si>
  <si>
    <t>Battery Capacity Margin for Cold/Hot Weather Operation (% of full capacity)</t>
  </si>
  <si>
    <t>Battery Replacement Cost ($/kWh)</t>
  </si>
  <si>
    <t>Percent of battery pack to replace at end of life</t>
  </si>
  <si>
    <t>Cost of Replacement Battery Pack ($)</t>
  </si>
  <si>
    <t>Weight &amp; Class</t>
  </si>
  <si>
    <t>Dependent Values</t>
  </si>
  <si>
    <t>Calculations</t>
  </si>
  <si>
    <t>Color Key</t>
  </si>
  <si>
    <t>CODE TO UNLOCK SHEET IS NACFE</t>
  </si>
  <si>
    <t>Battery Capacity Margin for Driver Efficiency (% of full capacity)</t>
  </si>
  <si>
    <t>Adjusted Vehicle Acquisition Actual Cost ($)</t>
  </si>
  <si>
    <t>Period</t>
  </si>
  <si>
    <t xml:space="preserve">Acquistion Cost </t>
  </si>
  <si>
    <t>Electricity Cost</t>
  </si>
  <si>
    <t>Fuel Cost</t>
  </si>
  <si>
    <t>Maintenance Cost</t>
  </si>
  <si>
    <t>Maintenance Cost Trend (% change per year)</t>
  </si>
  <si>
    <t>Sums</t>
  </si>
  <si>
    <t>Insurance Cost</t>
  </si>
  <si>
    <t>Residual Value</t>
  </si>
  <si>
    <t>Lease Payments</t>
  </si>
  <si>
    <t>Loan Payments</t>
  </si>
  <si>
    <t>TCO</t>
  </si>
  <si>
    <t>Insurance Cost Trend (% change per year)</t>
  </si>
  <si>
    <t>Baseline Cash Flow Values by Year</t>
  </si>
  <si>
    <t>CBEV Cash Flow Values by Year</t>
  </si>
  <si>
    <t>Electric</t>
  </si>
  <si>
    <t>% Delta</t>
  </si>
  <si>
    <t>TCO Comparison</t>
  </si>
  <si>
    <t>TCO Comparison in (2018 $'s)</t>
  </si>
  <si>
    <t>Charging Infrastructure</t>
  </si>
  <si>
    <t>Charging System Cost Recovery Method</t>
  </si>
  <si>
    <t>Paid Upfront Lump Cost</t>
  </si>
  <si>
    <t>Amortized Over Ownership Period</t>
  </si>
  <si>
    <t>Charging Infrastructure Cost</t>
  </si>
  <si>
    <t>Driver Retention Savings</t>
  </si>
  <si>
    <t>Technician Retention Savings</t>
  </si>
  <si>
    <t>Emissions Compliance Savings</t>
  </si>
  <si>
    <t>Brand Image Savings</t>
  </si>
  <si>
    <t>Other Overhead Savings</t>
  </si>
  <si>
    <t>Number of Trucks Per Charge Station</t>
  </si>
  <si>
    <t>From Cell C10</t>
  </si>
  <si>
    <t>From Cell C22</t>
  </si>
  <si>
    <t>Vehicle Use Tax</t>
  </si>
  <si>
    <t>Recommended Values</t>
  </si>
  <si>
    <t>Calculation</t>
  </si>
  <si>
    <t>Between 1 &amp; 20 years.  Suggest 8 years.</t>
  </si>
  <si>
    <t>Between -1,000% to +1,000% per truck.</t>
  </si>
  <si>
    <t>Diesel or Gasoline.</t>
  </si>
  <si>
    <t>Number between 1 to 30 years.</t>
  </si>
  <si>
    <t>Pulled from Duty Cycles Tab.</t>
  </si>
  <si>
    <t>PTW or WTW.</t>
  </si>
  <si>
    <t>Pick duty cycle to class closest to yours</t>
  </si>
  <si>
    <t>Number between 1 to 1,000 trucks.</t>
  </si>
  <si>
    <t>Between 0 to 100 mpg per truck.</t>
  </si>
  <si>
    <t>Between 0% to 1,000%.  Suggest 20%.</t>
  </si>
  <si>
    <t>Between 0% to 100%.  Suggest 10%.</t>
  </si>
  <si>
    <t>Between 0% to 100%.  Suggest 5%.</t>
  </si>
  <si>
    <t>Between 0% to 50%.  Suggest 20%.</t>
  </si>
  <si>
    <t>Between 0% to 100%.  Suggest 100%.</t>
  </si>
  <si>
    <t>Between -1,000% to +1,000%.  Suggest 5%.</t>
  </si>
  <si>
    <t>Between -1,000% to +1,000% per truck. Suggest 5%.</t>
  </si>
  <si>
    <t>Between $0 to $1M per truck. Suggest 2X baseline cost.</t>
  </si>
  <si>
    <t>Value of Changes to Technician Retention Costs (% of MSRP)</t>
  </si>
  <si>
    <t>Value of Changes to Driver Retention Costs (% of MSRP)</t>
  </si>
  <si>
    <t>Value of Changes to Emissions Compliance Costs (% of MSRP)</t>
  </si>
  <si>
    <t>Between -100% to +100% of Electric Truck MSRP.  Suggest 2% improvement over ownership period.</t>
  </si>
  <si>
    <t>Paid up front or amortized over ownership period.  Suggest paid up front.</t>
  </si>
  <si>
    <t xml:space="preserve">Between 0% and %500% of electric truck MSRP.  Suggest 5% of electric truck MSRP per truck.  </t>
  </si>
  <si>
    <t>Between 1 to 10 trucks per charging station.  Suggest 1.</t>
  </si>
  <si>
    <t>Between 1% and 100%.  Suggest 8%</t>
  </si>
  <si>
    <t xml:space="preserve">This Total Cost of Ownership (TCO) calculator is intended to allow users to compare a choice between investing in a diesel/gasolineinternal combustion engined (ICE) truck  versus investing in a comparable commercial battery electric vehcle (CBEV).  It is assumed that a fleet user will have an idea of their current values for their existing ICE vehicles, such as annual maintenance, fuel economy, insurance, etc.   It is expected that the fleet user has estimates for buying a current ICE vehicle such as manufacturer's suggested retail price, value of any trade in, other incentives, etc.   </t>
  </si>
  <si>
    <t>User Defined Duty Cycle #1</t>
  </si>
  <si>
    <t>User Defined Duty Cycle #2</t>
  </si>
  <si>
    <t>User Defined Duty Cycle #3</t>
  </si>
  <si>
    <t>User Defined Duty Cycle #4</t>
  </si>
  <si>
    <t>User Defined Duty Cycle #5</t>
  </si>
  <si>
    <t>User Description</t>
  </si>
  <si>
    <t xml:space="preserve">Duty cycles have been adapted by NACFE from the National Renewable Energy Laboratory's Fleet DNA database along with additional insights from Argonne National Laboratory.  Users may review these representative duty cycles in the Excel tab labelled Duty Cycles.  TheDuty Cycle tab permits the user to enter up to 5 of their own duty cycle information in rows reserved for their own use.  </t>
  </si>
  <si>
    <t>The TCO Calculator uses the Net Present Value (NPV) function in Excel to determine the NPV of each investment choice of equal time spans - the ICE vehicle and the competing electric one.  Users unfamiliar with NPV can search in the Excel help file for an understanding or any of a number of business accounting text books or online sources.  The NPV function evaluates a series of cash flows over several periods and using the time value of money, puts those cash flow streams as today's value for each investment path.</t>
  </si>
  <si>
    <t xml:space="preserve">A common way of viewing this is using a cash flow diagram as shown here.  Cash in-flows are postive and point up, cash outflows are negative and point down.  Cash flows are represented by end of period values (so annual values).  The initial purchase factors are shown at time period zero.  
</t>
  </si>
  <si>
    <t>The user may edit values under the Excel tab labelled "TCO Calculator Inputs."  The cells only permit entry within certain ranges.  Error messages and instructions are included with each spreadsheet cell.  Some cells are colored green - these are calculations and may not be changed.  Some are shaded grey - these are pulling data from the Duty Cycles tab.  Cells shaded in orange may be keyed in by the user.  Permissible ranges are described next to the cell and where appropriate, NACFE has recommended a value.</t>
  </si>
  <si>
    <t>Outputs are shown on the Excel spreadsheet tab labelled TCO Calculator Outputs.  The NPV of the two investment comparisons are shown in green at the top of the page.  The cash flows for each period for each investment are shown in detail in the lower part of the spreadsheet.  There are no user modifeable spreadsheet cells on the Output tab.</t>
  </si>
  <si>
    <t>Down Payment</t>
  </si>
  <si>
    <t>Between 0% to 100% per truck. Suggest 5% if owned over 10 years based on salvage value and repurposing components.</t>
  </si>
  <si>
    <t>Between 0% to 100% per truck. Suggest 1% if owned over 10 years based on salvage value.</t>
  </si>
  <si>
    <t>Highway Trust Fund Equivalent Tax</t>
  </si>
  <si>
    <t>Include</t>
  </si>
  <si>
    <t>Exclude</t>
  </si>
  <si>
    <t>Include Equivalent Highway Trust Fund fuel tax?</t>
  </si>
  <si>
    <t>Between $0.01 to $10.0 per gallon.  Suggest $3.60.</t>
  </si>
  <si>
    <t>Between $0.01 to $1.00/kWh. Suggest $0.12 kWh.</t>
  </si>
  <si>
    <t>Down Payment % per Truck</t>
  </si>
  <si>
    <t>Cash, Lease or Loan</t>
  </si>
  <si>
    <t>Between 0% and 100% of MSRP.  Use 100% if cash purchase, if lease or loan, suggest 10%.</t>
  </si>
  <si>
    <t>Include or Exclude.  Suggest "Exclude" today. (assumes 18.4 cents/gal for gasoline baseline, or 24.4 cents/gal for diesel baseline)</t>
  </si>
  <si>
    <t>Projected Residual Value at end of ownership (% of Adjusted Vehicle Acquisition Cost)</t>
  </si>
  <si>
    <t>Adjusted Price after rebates, etc. ($)</t>
  </si>
  <si>
    <t>Value of Trade-In ($)</t>
  </si>
  <si>
    <t>Grants, Incentives, Rebates, etc (% of MSRP)</t>
  </si>
  <si>
    <t>Already keyed in at Cell C23</t>
  </si>
  <si>
    <t>Interest Payment-Lease</t>
  </si>
  <si>
    <t>Capitalized Cost-Lease</t>
  </si>
  <si>
    <t xml:space="preserve">Loan Payment </t>
  </si>
  <si>
    <t>These columns required for default version of TCO Calculator</t>
  </si>
  <si>
    <t>These columns are NOT required for the default version of the TCO Calculator.  
They are provided for reference in the event users want to expand the features of the calculator.</t>
  </si>
  <si>
    <t>See NACFE Medium Duty TCO Guidance Report for details on the TCO Calculator development and background on recommended values, ranges, qualifiers .</t>
  </si>
  <si>
    <t>TCO Calculator Results Quick View 
(See TCO Calculator Outputs tab for details)</t>
  </si>
  <si>
    <t>Projected Residual Value at end of ownership (% of baseline adjusted price after rebates etc)</t>
  </si>
  <si>
    <t xml:space="preserve"> </t>
  </si>
  <si>
    <t>Between 0.01 to 10.0 kWh/mi.  Suggest 1.5 kWh/mi.</t>
  </si>
  <si>
    <t>NACFE is providing this TCO worksheet as a tool for evaluation.  The choices on how trends are modelled are based on linear (straight line) changes over time, expressed as % per year changes.  Clearly more sophisticated methods may be used with more complex curved projections or actual databases.  Users are welcome to modify the NACFE TCO calculator for their own use.  The tabs are protected by the keyword NACFE and users may unlock and edit as they wish.  Changes made by end users are not the responsibility of NACFE nor do they represent NACFE.  The original TCO calculator will stay under NACFE control on the NACFE.org website and may be updated in the future.</t>
  </si>
  <si>
    <t>Between $1 to $1M per truck. Suggest $50k for Class 3 baseline, higher for other classes.</t>
  </si>
  <si>
    <t>Between $1 to $1M per truck.  Suggest $60k-$80k for Class 3, higher for other classes.</t>
  </si>
  <si>
    <t>Between 0% to 100%.  Suggest 50%.</t>
  </si>
  <si>
    <t>Should be less than MSRP in Cell C21.</t>
  </si>
  <si>
    <t>Between $0 and Adjusted Price after Rebates</t>
  </si>
  <si>
    <t>Between $0 to $1M per truck.</t>
  </si>
  <si>
    <t>Between $0 to $100,000 per truck per year.</t>
  </si>
  <si>
    <t>Between $0 to $1,000/kWh.  Recommend $200/kWh.</t>
  </si>
  <si>
    <t>Expected Annual Maintenance Cost  (% of Baseline)</t>
  </si>
  <si>
    <t>CHANGE HISTORY:</t>
  </si>
  <si>
    <t>03/19/19 Change 3: Correct cell reference - edit equations on tab "TCO Calculator Outputs" Cells  D15 through AG15:
     Replace all occurrences of $E$24 with $E$26</t>
  </si>
  <si>
    <t>03/19/19 Change 1:  Correct confusing text - edit text on tab 'TCO Calculator Inputs' Cell B52:
    Change to: ""Expected Annual Maintenance Cost (% of Baseline)"
    Change from: "Expected Annual Maintenance Cost Reduction (% of Baseline)"</t>
  </si>
  <si>
    <t>03/19/19 Change 2: Correct confusing values - edit text in tab 'TCO Calculator Inputs' Cell F52
     Change to:  Between 0% to +1,000% of Baseline Maintenance Cost.  Suggest 100% (same as baseline)
     Change from:  Between -1,000% to +1,000% of Baseline Maintenance Cost.  Suggest 100% (same as baseline)</t>
  </si>
  <si>
    <t>Between 0% to +1,000% of Baseline Maintenance Cost.  Suggest 100% (same as baseline)</t>
  </si>
  <si>
    <t>03/29/19 Change 1 - Correcting Maintenance math on electric vehicles
     Correct equations in TCO Calculator Outputs Row 31 Cell D31 and copy through AG31
     Change to:  =IF(CELL("type",D$27)="v",(D15*'TCO Calculator Inputs'!$E$52),"")
     Change from:   =IF(CELL("type",D$27)="v",(D15*'TCO Calculator Inputs'!$E$52)*'TCO Calculator Inputs'!$E$20,"")</t>
  </si>
  <si>
    <r>
      <t>04/21/19 Change 1 - Correcting interest cost for the baseline diesel
     Correct equations in TCO Calculator Outputs Row 22 Cell D22 and copy through to AG22
     Change to  =IF('TCO Calculator Inputs'!$E$68=2,IF(CELL("type",D$27)="v",(</t>
    </r>
    <r>
      <rPr>
        <sz val="11"/>
        <color theme="4" tint="-0.249977111117893"/>
        <rFont val="Calibri"/>
        <family val="2"/>
        <scheme val="minor"/>
      </rPr>
      <t>D$21</t>
    </r>
    <r>
      <rPr>
        <sz val="11"/>
        <color theme="1"/>
        <rFont val="Calibri"/>
        <family val="2"/>
        <scheme val="minor"/>
      </rPr>
      <t>+'TCO Calculator Inputs'!$E$24*('TCO Calculator Inputs'!$E$22-'TCO Calculator Inputs'!$E$23))*'TCO Calculator Inputs'!$E$69,""),"")
     Change from   =IF('TCO Calculator Inputs'!$E$68=2,IF(CELL("type",D$27)="v",(</t>
    </r>
    <r>
      <rPr>
        <sz val="11"/>
        <color rgb="FFFF0000"/>
        <rFont val="Calibri"/>
        <family val="2"/>
        <scheme val="minor"/>
      </rPr>
      <t>D$49</t>
    </r>
    <r>
      <rPr>
        <sz val="11"/>
        <color theme="1"/>
        <rFont val="Calibri"/>
        <family val="2"/>
        <scheme val="minor"/>
      </rPr>
      <t>+'TCO Calculator Inputs'!$E$24*('TCO Calculator Inputs'!$E$22-'TCO Calculator Inputs'!$E$23))*'TCO Calculator Inputs'!$E$69,""),"")</t>
    </r>
  </si>
  <si>
    <r>
      <t>04/21/19 Change 2 - Correcting baseline downpayment for number of vehicles in project
     Correct equations in TCO Calculator Outputs Row 20 Cell C20
     Change to  =IF('TCO Calculator Inputs'!$E$68=1,"",IF(CELL("type",C$27)="v",-('TCO Calculator Inputs'!$E$70*('TCO Calculator Inputs'!$E$22-'TCO Calculator Inputs'!E23))</t>
    </r>
    <r>
      <rPr>
        <sz val="11"/>
        <color rgb="FF0070C0"/>
        <rFont val="Calibri"/>
        <family val="2"/>
        <scheme val="minor"/>
      </rPr>
      <t>*'TCO Calculator Inputs'!$E$20</t>
    </r>
    <r>
      <rPr>
        <sz val="11"/>
        <rFont val="Calibri"/>
        <family val="2"/>
        <scheme val="minor"/>
      </rPr>
      <t>,""))
     Change from =IF('TCO Calculator Inputs'!$E$68=1,"",IF(CELL("type",C$27)="v",-('TCO Calculator Inputs'!$E$70*('TCO Calculator Inputs'!$E$22-'TCO Calculator Inputs'!E23)),""))</t>
    </r>
  </si>
  <si>
    <r>
      <rPr>
        <sz val="11"/>
        <rFont val="Calibri"/>
        <family val="2"/>
        <scheme val="minor"/>
      </rPr>
      <t>04/21/19 Change 3 - Correcting baseline capitalized cost of lease for number of vehicles in project
     Correct equations in TCO Calculator Outputs Row 21 Cell D21 and copy through to AG21
     Change to  =IF('TCO Calculator Inputs'!$E$68=2,IF(CELL("type",D$11)="v",IF('TCO Calculator Inputs'!$E$70=1,"",(-((1-'TCO Calculator Inputs'!$E$70-'TCO Calculator Inputs'!$E$24)*('TCO Calculator Inputs'!$E$22-'TCO Calculator Inputs'!$E$23)/'TCO Calculator Inputs'!$E$19)</t>
    </r>
    <r>
      <rPr>
        <sz val="11"/>
        <color rgb="FF0070C0"/>
        <rFont val="Calibri"/>
        <family val="2"/>
        <scheme val="minor"/>
      </rPr>
      <t>*'TCO Calculator Inputs'!$E$20</t>
    </r>
    <r>
      <rPr>
        <sz val="11"/>
        <rFont val="Calibri"/>
        <family val="2"/>
        <scheme val="minor"/>
      </rPr>
      <t>)),""),"")
     Change from =IF('TCO Calculator Inputs'!$E$68=2,IF(CELL("type",D$11)="v",IF('TCO Calculator Inputs'!$E$70=1,"",(-((1-'TCO Calculator Inputs'!$E$70-'TCO Calculator Inputs'!$E$24)*('TCO Calculator Inputs'!$E$22-'TCO Calculator Inputs'!$E$23)/'TCO Calculator Inputs'!$E$19))),""),"")</t>
    </r>
  </si>
  <si>
    <r>
      <t>04/21/19 Change 4 - Correcting baseline loan payment for number of vehicles in project
     Correct equations in TCO Calculator Outputs Row 23 Cell D23 and copy through to AG23
     Change to  =IF('TCO Calculator Inputs'!$E$68=3,IF(CELL("type",D$27)="v",PMT('TCO Calculator Inputs'!$E$69,'TCO Calculator Inputs'!$E$19,('TCO Calculator Inputs'!$E$22-'TCO Calculator Inputs'!$E$23)*(1-'TCO Calculator Inputs'!$E$70),0,0)</t>
    </r>
    <r>
      <rPr>
        <sz val="11"/>
        <color theme="4" tint="-0.249977111117893"/>
        <rFont val="Calibri"/>
        <family val="2"/>
        <scheme val="minor"/>
      </rPr>
      <t>*'TCO Calculator Inputs'!$E$20</t>
    </r>
    <r>
      <rPr>
        <sz val="11"/>
        <rFont val="Calibri"/>
        <family val="2"/>
        <scheme val="minor"/>
      </rPr>
      <t>,""),"")
     Change from =IF('TCO Calculator Inputs'!$E$68=3,IF(CELL("type",D$27)="v",PMT('TCO Calculator Inputs'!$E$69,'TCO Calculator Inputs'!$E$19,('TCO Calculator Inputs'!$E$22-'TCO Calculator Inputs'!$E$23)*(1-'TCO Calculator Inputs'!$E$70),0,0),""),"")</t>
    </r>
  </si>
  <si>
    <r>
      <t>04/21/19 Change 5 - Correcting CBEV downpayment for number of vehicles in project
     Correct equations in TCO Calculator Outputs Row 48 Cell C48
     Change to  =IF('TCO Calculator Inputs'!$E$68=1,"",IF(CELL("type",C$27)="v",-('TCO Calculator Inputs'!$E$70*('TCO Calculator Inputs'!$E$49-'TCO Calculator Inputs'!E50))</t>
    </r>
    <r>
      <rPr>
        <sz val="11"/>
        <color theme="4" tint="-0.249977111117893"/>
        <rFont val="Calibri"/>
        <family val="2"/>
        <scheme val="minor"/>
      </rPr>
      <t>*'TCO Calculator Inputs'!$E$20</t>
    </r>
    <r>
      <rPr>
        <sz val="11"/>
        <rFont val="Calibri"/>
        <family val="2"/>
        <scheme val="minor"/>
      </rPr>
      <t>,""))
     Change from =IF('TCO Calculator Inputs'!$E$68=1,"",IF(CELL("type",C$27)="v",-('TCO Calculator Inputs'!$E$70*('TCO Calculator Inputs'!$E$49-'TCO Calculator Inputs'!E50)),""))</t>
    </r>
  </si>
  <si>
    <r>
      <t>04/21/19 Change 6 - Correcting CBEV capitalized cost of lease for number of vehicles in project
     Correct equations in TCO Calculator Outputs Row 49 Cell D49 and copy through to AG49
     Change to  =IF('TCO Calculator Inputs'!$E$68=2,IF(CELL("type",D$27)="v",IF('TCO Calculator Inputs'!$E$70=1,"",(-((1-'TCO Calculator Inputs'!$E$70-'TCO Calculator Inputs'!$E$51)*'TCO Calculator Inputs'!$E$49/'TCO Calculator Inputs'!$E$19)</t>
    </r>
    <r>
      <rPr>
        <sz val="11"/>
        <color theme="4" tint="-0.249977111117893"/>
        <rFont val="Calibri"/>
        <family val="2"/>
        <scheme val="minor"/>
      </rPr>
      <t>*'TCO Calculator Inputs'!$E$20</t>
    </r>
    <r>
      <rPr>
        <sz val="11"/>
        <rFont val="Calibri"/>
        <family val="2"/>
        <scheme val="minor"/>
      </rPr>
      <t>)),""),"")
     Change from =IF('TCO Calculator Inputs'!$E$68=2,IF(CELL("type",D$27)="v",IF('TCO Calculator Inputs'!$E$70=1,"",(-((1-'TCO Calculator Inputs'!$E$70-'TCO Calculator Inputs'!$E$51)*'TCO Calculator Inputs'!$E$49/'TCO Calculator Inputs'!$E$19))),""),"")</t>
    </r>
  </si>
  <si>
    <r>
      <t>04/21/19 Change 7 - Correcting CBEV loan payment for number of vehicles in project
     Correct equations in TCO Calculator Outputs Row 51 Cell D51 and copy through to AG51
     Change to  =IF('TCO Calculator Inputs'!$E$68=3,IF(CELL("type",D$27)="v",PMT('TCO Calculator Inputs'!$E$69,'TCO Calculator Inputs'!$E$19,('TCO Calculator Inputs'!$E$49-'TCO Calculator Inputs'!$E$50)*(1-'TCO Calculator Inputs'!$E$70),0,0)</t>
    </r>
    <r>
      <rPr>
        <sz val="11"/>
        <color theme="4" tint="-0.249977111117893"/>
        <rFont val="Calibri"/>
        <family val="2"/>
        <scheme val="minor"/>
      </rPr>
      <t>*'TCO Calculator Inputs'!$E$20</t>
    </r>
    <r>
      <rPr>
        <sz val="11"/>
        <rFont val="Calibri"/>
        <family val="2"/>
        <scheme val="minor"/>
      </rPr>
      <t>,""),"")
     Change from =IF('TCO Calculator Inputs'!$E$68=3,IF(CELL("type",D$27)="v",PMT('TCO Calculator Inputs'!$E$69,'TCO Calculator Inputs'!$E$19,('TCO Calculator Inputs'!$E$49-'TCO Calculator Inputs'!$E$50)*(1-'TCO Calculator Inputs'!$E$70),0,0),""),"")</t>
    </r>
  </si>
  <si>
    <t>Version 042119Q replaces Version 032919P as of 4/21/2019 
 - See Change History at bottom of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</si>
</sst>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quot;#,##0"/>
    <numFmt numFmtId="166" formatCode="&quot;$&quot;#,##0.00"/>
    <numFmt numFmtId="167" formatCode="0.000"/>
    <numFmt numFmtId="168" formatCode="0.0%"/>
  </numFmts>
  <fonts count="20" x14ac:knownFonts="1">
    <font>
      <sz val="11"/>
      <color theme="1"/>
      <name val="Calibri"/>
      <family val="2"/>
      <scheme val="minor"/>
    </font>
    <font>
      <sz val="11"/>
      <color theme="1"/>
      <name val="Calibri"/>
      <family val="2"/>
      <scheme val="minor"/>
    </font>
    <font>
      <b/>
      <sz val="24"/>
      <color rgb="FF183B66"/>
      <name val="Arial"/>
      <family val="2"/>
    </font>
    <font>
      <b/>
      <sz val="12"/>
      <color theme="1"/>
      <name val="Calibri"/>
      <family val="2"/>
      <scheme val="minor"/>
    </font>
    <font>
      <b/>
      <sz val="18"/>
      <color theme="1"/>
      <name val="Calibri"/>
      <family val="2"/>
      <scheme val="minor"/>
    </font>
    <font>
      <sz val="18"/>
      <color theme="1"/>
      <name val="Calibri"/>
      <family val="2"/>
      <scheme val="minor"/>
    </font>
    <font>
      <sz val="16"/>
      <color theme="1"/>
      <name val="Calibri"/>
      <family val="2"/>
      <scheme val="minor"/>
    </font>
    <font>
      <vertAlign val="superscript"/>
      <sz val="16"/>
      <color theme="1"/>
      <name val="Calibri"/>
      <family val="2"/>
      <scheme val="minor"/>
    </font>
    <font>
      <sz val="16"/>
      <name val="Calibri"/>
      <family val="2"/>
      <scheme val="minor"/>
    </font>
    <font>
      <i/>
      <sz val="11"/>
      <color theme="1"/>
      <name val="Calibri"/>
      <family val="2"/>
      <scheme val="minor"/>
    </font>
    <font>
      <b/>
      <sz val="22"/>
      <color theme="1"/>
      <name val="Calibri"/>
      <family val="2"/>
      <scheme val="minor"/>
    </font>
    <font>
      <u/>
      <sz val="11"/>
      <color theme="1"/>
      <name val="Calibri"/>
      <family val="2"/>
      <scheme val="minor"/>
    </font>
    <font>
      <b/>
      <sz val="11"/>
      <color theme="1"/>
      <name val="Calibri"/>
      <family val="2"/>
      <scheme val="minor"/>
    </font>
    <font>
      <sz val="11"/>
      <name val="Calibri"/>
      <family val="2"/>
      <scheme val="minor"/>
    </font>
    <font>
      <sz val="15.4"/>
      <color rgb="FF363636"/>
      <name val="Segoe UI Light"/>
      <family val="2"/>
    </font>
    <font>
      <i/>
      <sz val="10"/>
      <color theme="1"/>
      <name val="Calibri"/>
      <family val="2"/>
      <scheme val="minor"/>
    </font>
    <font>
      <sz val="11"/>
      <color rgb="FFFF0000"/>
      <name val="Calibri"/>
      <family val="2"/>
      <scheme val="minor"/>
    </font>
    <font>
      <b/>
      <u/>
      <sz val="11"/>
      <color theme="1"/>
      <name val="Calibri"/>
      <family val="2"/>
      <scheme val="minor"/>
    </font>
    <font>
      <sz val="11"/>
      <color theme="4" tint="-0.249977111117893"/>
      <name val="Calibri"/>
      <family val="2"/>
      <scheme val="minor"/>
    </font>
    <font>
      <sz val="11"/>
      <color rgb="FF0070C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79998168889431442"/>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0" fillId="0" borderId="3" xfId="0" applyBorder="1"/>
    <xf numFmtId="0" fontId="0" fillId="0" borderId="4" xfId="0" applyBorder="1"/>
    <xf numFmtId="0" fontId="0" fillId="2" borderId="6" xfId="0" applyFill="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wrapText="1"/>
    </xf>
    <xf numFmtId="0" fontId="0" fillId="0" borderId="12" xfId="0" applyBorder="1" applyAlignment="1">
      <alignment horizontal="center"/>
    </xf>
    <xf numFmtId="0" fontId="0" fillId="0" borderId="13" xfId="0" applyBorder="1" applyAlignment="1">
      <alignment horizontal="center"/>
    </xf>
    <xf numFmtId="0" fontId="0" fillId="0" borderId="12" xfId="0" applyBorder="1"/>
    <xf numFmtId="0" fontId="0" fillId="0" borderId="13" xfId="0" applyBorder="1"/>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0" fillId="0" borderId="1" xfId="0" applyBorder="1"/>
    <xf numFmtId="0" fontId="0" fillId="0" borderId="14" xfId="0" applyBorder="1" applyAlignment="1">
      <alignment horizontal="center"/>
    </xf>
    <xf numFmtId="1" fontId="6" fillId="3" borderId="8" xfId="0" applyNumberFormat="1" applyFont="1" applyFill="1" applyBorder="1" applyAlignment="1">
      <alignment horizontal="center" vertical="center"/>
    </xf>
    <xf numFmtId="3" fontId="6" fillId="9" borderId="8" xfId="0" applyNumberFormat="1" applyFont="1" applyFill="1" applyBorder="1" applyAlignment="1">
      <alignment horizontal="center" vertical="center"/>
    </xf>
    <xf numFmtId="2" fontId="6" fillId="4"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1" fontId="6" fillId="4" borderId="8" xfId="0" applyNumberFormat="1" applyFont="1" applyFill="1" applyBorder="1" applyAlignment="1">
      <alignment horizontal="center" vertical="center"/>
    </xf>
    <xf numFmtId="2" fontId="8" fillId="3" borderId="8" xfId="0" applyNumberFormat="1" applyFont="1" applyFill="1" applyBorder="1" applyAlignment="1">
      <alignment horizontal="center" vertical="center"/>
    </xf>
    <xf numFmtId="2" fontId="8" fillId="4" borderId="8" xfId="0" applyNumberFormat="1" applyFont="1" applyFill="1" applyBorder="1" applyAlignment="1">
      <alignment horizontal="center" vertical="center"/>
    </xf>
    <xf numFmtId="1" fontId="8" fillId="4" borderId="8" xfId="0" applyNumberFormat="1" applyFont="1" applyFill="1" applyBorder="1" applyAlignment="1">
      <alignment horizontal="center" vertical="center"/>
    </xf>
    <xf numFmtId="0" fontId="0" fillId="0" borderId="0" xfId="0" applyAlignment="1">
      <alignment vertical="center"/>
    </xf>
    <xf numFmtId="0" fontId="3" fillId="2"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0" borderId="0" xfId="0" applyAlignment="1">
      <alignment horizontal="center" vertical="center"/>
    </xf>
    <xf numFmtId="0" fontId="0" fillId="0" borderId="8" xfId="0" applyBorder="1" applyAlignment="1">
      <alignment horizontal="center" vertical="center"/>
    </xf>
    <xf numFmtId="0" fontId="5" fillId="4" borderId="10" xfId="0" applyFont="1" applyFill="1" applyBorder="1" applyAlignment="1">
      <alignment horizontal="left" vertical="center" wrapText="1"/>
    </xf>
    <xf numFmtId="0" fontId="0" fillId="0" borderId="0" xfId="0" applyFill="1" applyAlignment="1">
      <alignment horizontal="center" vertical="center"/>
    </xf>
    <xf numFmtId="9" fontId="0" fillId="0" borderId="0" xfId="1" applyFont="1" applyFill="1" applyAlignment="1">
      <alignment horizontal="center" vertical="center"/>
    </xf>
    <xf numFmtId="0" fontId="0" fillId="0" borderId="0" xfId="0" applyFill="1" applyAlignment="1">
      <alignment vertical="center"/>
    </xf>
    <xf numFmtId="9" fontId="0" fillId="0" borderId="0" xfId="1" applyFont="1" applyAlignment="1">
      <alignment horizontal="center" vertical="center"/>
    </xf>
    <xf numFmtId="3" fontId="0" fillId="0" borderId="0" xfId="0" applyNumberFormat="1" applyAlignment="1">
      <alignment horizontal="center" vertical="center"/>
    </xf>
    <xf numFmtId="1"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0" applyNumberFormat="1" applyAlignment="1">
      <alignment horizontal="center" vertical="center"/>
    </xf>
    <xf numFmtId="9" fontId="0" fillId="0" borderId="0" xfId="0" applyNumberFormat="1" applyAlignment="1">
      <alignment horizontal="center" vertical="center"/>
    </xf>
    <xf numFmtId="0" fontId="4" fillId="5" borderId="8" xfId="0" applyFont="1" applyFill="1" applyBorder="1" applyAlignment="1">
      <alignment horizontal="center" vertical="center"/>
    </xf>
    <xf numFmtId="0" fontId="0" fillId="6" borderId="0" xfId="0" applyFill="1" applyAlignment="1">
      <alignment vertical="center"/>
    </xf>
    <xf numFmtId="0" fontId="0" fillId="8" borderId="0" xfId="0" applyFill="1" applyAlignment="1">
      <alignment vertical="center"/>
    </xf>
    <xf numFmtId="0" fontId="11" fillId="0" borderId="0" xfId="0" applyFont="1" applyAlignment="1">
      <alignment horizontal="center" vertical="center"/>
    </xf>
    <xf numFmtId="0" fontId="0" fillId="10" borderId="0" xfId="0" applyFill="1" applyAlignment="1">
      <alignment horizontal="left" vertical="center"/>
    </xf>
    <xf numFmtId="164" fontId="0" fillId="10" borderId="16" xfId="0" applyNumberFormat="1" applyFill="1" applyBorder="1" applyAlignment="1" applyProtection="1">
      <alignment horizontal="center" vertical="center"/>
      <protection locked="0"/>
    </xf>
    <xf numFmtId="0" fontId="0" fillId="0" borderId="9" xfId="0" applyBorder="1"/>
    <xf numFmtId="1" fontId="0" fillId="10" borderId="9" xfId="0" applyNumberFormat="1" applyFill="1" applyBorder="1" applyAlignment="1" applyProtection="1">
      <alignment horizontal="center" vertical="center"/>
      <protection locked="0"/>
    </xf>
    <xf numFmtId="9" fontId="0" fillId="10" borderId="9" xfId="1" applyFont="1" applyFill="1" applyBorder="1" applyAlignment="1" applyProtection="1">
      <alignment horizontal="center" vertical="center"/>
      <protection locked="0"/>
    </xf>
    <xf numFmtId="9" fontId="0" fillId="10" borderId="9" xfId="0" applyNumberFormat="1" applyFill="1" applyBorder="1" applyAlignment="1" applyProtection="1">
      <alignment horizontal="center" vertical="center"/>
      <protection locked="0"/>
    </xf>
    <xf numFmtId="165" fontId="0" fillId="10" borderId="9" xfId="0" applyNumberFormat="1" applyFill="1" applyBorder="1" applyAlignment="1" applyProtection="1">
      <alignment horizontal="center" vertical="center"/>
      <protection locked="0"/>
    </xf>
    <xf numFmtId="165" fontId="0" fillId="8" borderId="9" xfId="0" applyNumberFormat="1" applyFill="1" applyBorder="1" applyAlignment="1">
      <alignment horizontal="center"/>
    </xf>
    <xf numFmtId="166" fontId="0" fillId="10" borderId="9" xfId="0" applyNumberFormat="1" applyFill="1" applyBorder="1" applyAlignment="1" applyProtection="1">
      <alignment horizontal="center" vertical="center"/>
      <protection locked="0"/>
    </xf>
    <xf numFmtId="164" fontId="0" fillId="10" borderId="9" xfId="0" applyNumberFormat="1" applyFill="1" applyBorder="1" applyAlignment="1" applyProtection="1">
      <alignment horizontal="center" vertical="center"/>
      <protection locked="0"/>
    </xf>
    <xf numFmtId="0" fontId="0" fillId="10" borderId="9" xfId="0" applyFill="1" applyBorder="1" applyAlignment="1" applyProtection="1">
      <alignment horizontal="center" vertical="center"/>
      <protection locked="0"/>
    </xf>
    <xf numFmtId="0" fontId="0" fillId="10" borderId="16" xfId="0" applyFill="1" applyBorder="1" applyAlignment="1" applyProtection="1">
      <alignment horizontal="center" vertical="center"/>
      <protection locked="0"/>
    </xf>
    <xf numFmtId="3" fontId="0" fillId="6" borderId="9" xfId="0" applyNumberFormat="1" applyFill="1" applyBorder="1" applyAlignment="1">
      <alignment horizontal="center" vertical="center"/>
    </xf>
    <xf numFmtId="9" fontId="0" fillId="8" borderId="9" xfId="0" applyNumberFormat="1" applyFill="1" applyBorder="1" applyAlignment="1">
      <alignment horizontal="center" vertical="center"/>
    </xf>
    <xf numFmtId="0" fontId="0" fillId="10" borderId="17" xfId="0" applyFill="1" applyBorder="1" applyAlignment="1" applyProtection="1">
      <alignment horizontal="center" vertical="center"/>
      <protection locked="0"/>
    </xf>
    <xf numFmtId="0" fontId="0" fillId="0" borderId="16" xfId="0"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9" fontId="0" fillId="10" borderId="16" xfId="1" applyFont="1" applyFill="1" applyBorder="1" applyAlignment="1" applyProtection="1">
      <alignment horizontal="center" vertical="center"/>
      <protection locked="0"/>
    </xf>
    <xf numFmtId="10" fontId="0" fillId="10" borderId="9" xfId="0" applyNumberFormat="1" applyFill="1" applyBorder="1" applyAlignment="1" applyProtection="1">
      <alignment horizontal="center" vertical="center"/>
      <protection locked="0"/>
    </xf>
    <xf numFmtId="0" fontId="0" fillId="8" borderId="9" xfId="0" applyFill="1" applyBorder="1" applyAlignment="1">
      <alignment vertical="center"/>
    </xf>
    <xf numFmtId="0" fontId="0" fillId="0" borderId="0" xfId="0" applyAlignment="1">
      <alignment horizontal="center"/>
    </xf>
    <xf numFmtId="0" fontId="0" fillId="0" borderId="0" xfId="0" applyAlignment="1">
      <alignment horizontal="right"/>
    </xf>
    <xf numFmtId="167" fontId="0" fillId="0" borderId="0" xfId="0" applyNumberFormat="1" applyAlignment="1">
      <alignment horizontal="center" vertical="center"/>
    </xf>
    <xf numFmtId="165" fontId="0" fillId="8" borderId="8" xfId="0" applyNumberFormat="1" applyFill="1" applyBorder="1"/>
    <xf numFmtId="165" fontId="0" fillId="7" borderId="0" xfId="0" applyNumberFormat="1" applyFill="1" applyAlignment="1">
      <alignment horizontal="right"/>
    </xf>
    <xf numFmtId="0" fontId="12" fillId="4" borderId="0" xfId="0" applyFont="1" applyFill="1" applyAlignment="1">
      <alignment horizontal="center"/>
    </xf>
    <xf numFmtId="165" fontId="0" fillId="0" borderId="9" xfId="0" applyNumberFormat="1" applyBorder="1" applyAlignment="1">
      <alignment horizontal="right"/>
    </xf>
    <xf numFmtId="3" fontId="0" fillId="0" borderId="9" xfId="0" applyNumberFormat="1" applyBorder="1"/>
    <xf numFmtId="165" fontId="0" fillId="0" borderId="9" xfId="0" applyNumberFormat="1" applyBorder="1"/>
    <xf numFmtId="0" fontId="0" fillId="0" borderId="9" xfId="0" applyBorder="1" applyAlignment="1">
      <alignment horizontal="center"/>
    </xf>
    <xf numFmtId="3" fontId="0" fillId="8" borderId="9" xfId="0" applyNumberFormat="1" applyFill="1" applyBorder="1" applyAlignment="1">
      <alignment horizontal="center" vertical="center"/>
    </xf>
    <xf numFmtId="168" fontId="0" fillId="10" borderId="9" xfId="1"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0" fillId="6" borderId="9" xfId="0" applyFill="1" applyBorder="1"/>
    <xf numFmtId="1" fontId="0" fillId="10" borderId="9" xfId="1" applyNumberFormat="1" applyFont="1" applyFill="1" applyBorder="1" applyAlignment="1" applyProtection="1">
      <alignment horizontal="center" vertical="center"/>
      <protection locked="0"/>
    </xf>
    <xf numFmtId="0" fontId="0" fillId="8"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xf numFmtId="165" fontId="0" fillId="8" borderId="21" xfId="0" applyNumberFormat="1" applyFill="1" applyBorder="1" applyAlignment="1">
      <alignment horizontal="center" vertical="center"/>
    </xf>
    <xf numFmtId="9" fontId="0" fillId="0" borderId="22" xfId="0" applyNumberFormat="1" applyBorder="1" applyAlignment="1">
      <alignment horizontal="center" vertical="center"/>
    </xf>
    <xf numFmtId="0" fontId="2" fillId="3" borderId="0" xfId="0" applyFont="1" applyFill="1" applyBorder="1" applyAlignment="1" applyProtection="1">
      <alignment vertical="center" wrapText="1"/>
      <protection hidden="1"/>
    </xf>
    <xf numFmtId="0" fontId="0" fillId="0" borderId="0" xfId="0" applyAlignment="1">
      <alignment vertical="center" wrapText="1"/>
    </xf>
    <xf numFmtId="0" fontId="0" fillId="4" borderId="0" xfId="0" applyFill="1" applyAlignment="1">
      <alignment vertical="center" wrapText="1"/>
    </xf>
    <xf numFmtId="0" fontId="0" fillId="8" borderId="0" xfId="0" applyFill="1" applyAlignment="1">
      <alignment vertical="center" wrapText="1"/>
    </xf>
    <xf numFmtId="0" fontId="2" fillId="3" borderId="11" xfId="0" applyFont="1" applyFill="1" applyBorder="1" applyAlignment="1" applyProtection="1">
      <alignment vertical="center" wrapText="1"/>
      <protection hidden="1"/>
    </xf>
    <xf numFmtId="0" fontId="0" fillId="0" borderId="0" xfId="0" applyAlignment="1">
      <alignment horizontal="left" wrapText="1"/>
    </xf>
    <xf numFmtId="0" fontId="0" fillId="0" borderId="0" xfId="0" applyFill="1" applyBorder="1" applyAlignment="1">
      <alignment horizontal="center" vertical="center"/>
    </xf>
    <xf numFmtId="0" fontId="5" fillId="4" borderId="8" xfId="0" applyFont="1" applyFill="1" applyBorder="1" applyAlignment="1">
      <alignment horizontal="left" vertical="center" wrapText="1"/>
    </xf>
    <xf numFmtId="1" fontId="6" fillId="3" borderId="8" xfId="0" applyNumberFormat="1" applyFont="1" applyFill="1" applyBorder="1" applyAlignment="1" applyProtection="1">
      <alignment horizontal="center" vertical="center"/>
      <protection locked="0"/>
    </xf>
    <xf numFmtId="2" fontId="6" fillId="4" borderId="8" xfId="0" applyNumberFormat="1" applyFont="1" applyFill="1" applyBorder="1" applyAlignment="1" applyProtection="1">
      <alignment horizontal="center" vertical="center"/>
      <protection locked="0"/>
    </xf>
    <xf numFmtId="2" fontId="6" fillId="3" borderId="8" xfId="0" applyNumberFormat="1" applyFont="1" applyFill="1" applyBorder="1" applyAlignment="1" applyProtection="1">
      <alignment horizontal="center" vertical="center"/>
      <protection locked="0"/>
    </xf>
    <xf numFmtId="1" fontId="6" fillId="4" borderId="8" xfId="0" applyNumberFormat="1" applyFont="1" applyFill="1" applyBorder="1" applyAlignment="1" applyProtection="1">
      <alignment horizontal="center" vertical="center"/>
      <protection locked="0"/>
    </xf>
    <xf numFmtId="2" fontId="8" fillId="3" borderId="8" xfId="0" applyNumberFormat="1" applyFont="1" applyFill="1" applyBorder="1" applyAlignment="1" applyProtection="1">
      <alignment horizontal="center" vertical="center"/>
      <protection locked="0"/>
    </xf>
    <xf numFmtId="2" fontId="8" fillId="4" borderId="8" xfId="0" applyNumberFormat="1" applyFont="1" applyFill="1" applyBorder="1" applyAlignment="1" applyProtection="1">
      <alignment horizontal="center" vertical="center"/>
      <protection locked="0"/>
    </xf>
    <xf numFmtId="1" fontId="8" fillId="4" borderId="8" xfId="0" applyNumberFormat="1" applyFont="1" applyFill="1" applyBorder="1" applyAlignment="1" applyProtection="1">
      <alignment horizontal="center" vertical="center"/>
      <protection locked="0"/>
    </xf>
    <xf numFmtId="0" fontId="0" fillId="2" borderId="2" xfId="0" applyFill="1" applyBorder="1" applyAlignment="1">
      <alignment horizontal="center" vertical="center" wrapText="1"/>
    </xf>
    <xf numFmtId="0" fontId="0" fillId="0" borderId="3" xfId="0" applyFill="1" applyBorder="1"/>
    <xf numFmtId="0" fontId="0" fillId="0" borderId="2" xfId="0" applyFill="1" applyBorder="1" applyAlignment="1">
      <alignment horizontal="center"/>
    </xf>
    <xf numFmtId="0" fontId="0" fillId="0" borderId="23" xfId="0" applyFill="1" applyBorder="1" applyAlignment="1">
      <alignment horizontal="center"/>
    </xf>
    <xf numFmtId="0" fontId="13" fillId="3" borderId="9" xfId="0" applyFont="1" applyFill="1" applyBorder="1" applyAlignment="1">
      <alignment vertical="center"/>
    </xf>
    <xf numFmtId="0" fontId="0" fillId="0" borderId="0" xfId="0" applyFill="1" applyAlignment="1">
      <alignment vertical="center" wrapText="1"/>
    </xf>
    <xf numFmtId="166" fontId="13" fillId="10" borderId="0" xfId="0" applyNumberFormat="1" applyFont="1" applyFill="1" applyAlignment="1">
      <alignment horizontal="center" vertical="center"/>
    </xf>
    <xf numFmtId="3" fontId="0" fillId="0" borderId="0" xfId="0" applyNumberFormat="1" applyFill="1" applyAlignment="1">
      <alignment horizontal="center" vertical="center"/>
    </xf>
    <xf numFmtId="0" fontId="0" fillId="0" borderId="16" xfId="0" applyFill="1" applyBorder="1"/>
    <xf numFmtId="0" fontId="0" fillId="0" borderId="16" xfId="0" applyBorder="1" applyAlignment="1">
      <alignment horizontal="center"/>
    </xf>
    <xf numFmtId="165" fontId="0" fillId="8" borderId="9" xfId="0" applyNumberFormat="1" applyFill="1" applyBorder="1" applyAlignment="1" applyProtection="1">
      <alignment horizontal="center" vertical="center"/>
    </xf>
    <xf numFmtId="0" fontId="14" fillId="0" borderId="0" xfId="0" applyFont="1"/>
    <xf numFmtId="0" fontId="0" fillId="10" borderId="0" xfId="0" applyFill="1" applyAlignment="1" applyProtection="1">
      <alignment horizontal="center" vertical="center"/>
      <protection locked="0"/>
    </xf>
    <xf numFmtId="0" fontId="0" fillId="0" borderId="9" xfId="0" applyFill="1" applyBorder="1"/>
    <xf numFmtId="0" fontId="3" fillId="2" borderId="5" xfId="0" applyFont="1" applyFill="1" applyBorder="1" applyAlignment="1">
      <alignment horizontal="left" vertical="center" wrapText="1"/>
    </xf>
    <xf numFmtId="1" fontId="0" fillId="0" borderId="0" xfId="0" applyNumberFormat="1" applyBorder="1" applyAlignment="1">
      <alignment horizontal="center"/>
    </xf>
    <xf numFmtId="1" fontId="6" fillId="10" borderId="8" xfId="0" applyNumberFormat="1" applyFont="1" applyFill="1" applyBorder="1" applyAlignment="1" applyProtection="1">
      <alignment horizontal="center" vertical="center"/>
      <protection locked="0"/>
    </xf>
    <xf numFmtId="3" fontId="6" fillId="10" borderId="8" xfId="0" applyNumberFormat="1" applyFont="1" applyFill="1" applyBorder="1" applyAlignment="1" applyProtection="1">
      <alignment horizontal="center" vertical="center"/>
      <protection locked="0"/>
    </xf>
    <xf numFmtId="0" fontId="9" fillId="0" borderId="0" xfId="0" applyFont="1" applyFill="1" applyBorder="1" applyAlignment="1">
      <alignment vertical="center" wrapText="1"/>
    </xf>
    <xf numFmtId="0" fontId="0" fillId="0" borderId="0" xfId="0" applyFill="1" applyAlignment="1">
      <alignment horizontal="right" vertical="center" wrapText="1"/>
    </xf>
    <xf numFmtId="165" fontId="0" fillId="8" borderId="12" xfId="0" applyNumberFormat="1" applyFill="1" applyBorder="1" applyAlignment="1">
      <alignment horizontal="center"/>
    </xf>
    <xf numFmtId="9" fontId="0" fillId="8" borderId="13" xfId="0" applyNumberFormat="1" applyFill="1" applyBorder="1" applyAlignment="1">
      <alignment horizontal="center"/>
    </xf>
    <xf numFmtId="165" fontId="0" fillId="8" borderId="11" xfId="0" applyNumberFormat="1" applyFill="1" applyBorder="1" applyAlignment="1">
      <alignment horizontal="center"/>
    </xf>
    <xf numFmtId="0" fontId="17" fillId="0" borderId="0" xfId="0" applyFont="1"/>
    <xf numFmtId="0" fontId="16" fillId="0" borderId="0" xfId="0" applyFont="1" applyAlignment="1">
      <alignment wrapText="1"/>
    </xf>
    <xf numFmtId="0" fontId="16" fillId="0" borderId="0" xfId="0" applyFont="1" applyAlignment="1">
      <alignment vertical="center" wrapText="1"/>
    </xf>
    <xf numFmtId="0" fontId="2" fillId="3" borderId="5" xfId="0" applyFont="1" applyFill="1" applyBorder="1" applyAlignment="1" applyProtection="1">
      <alignment horizontal="left" vertical="center" wrapText="1"/>
      <protection hidden="1"/>
    </xf>
    <xf numFmtId="0" fontId="2" fillId="3" borderId="7"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0" fillId="0" borderId="24" xfId="0" applyBorder="1" applyAlignment="1">
      <alignment horizontal="right" vertical="center" wrapText="1"/>
    </xf>
    <xf numFmtId="0" fontId="15" fillId="2" borderId="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5"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0" fillId="0" borderId="0" xfId="0" applyAlignment="1">
      <alignment vertical="top" wrapText="1"/>
    </xf>
    <xf numFmtId="0" fontId="13" fillId="0" borderId="0" xfId="0" applyFont="1" applyAlignment="1">
      <alignment vertical="top" wrapText="1"/>
    </xf>
    <xf numFmtId="0" fontId="16" fillId="0" borderId="0" xfId="0" applyFont="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5876925</xdr:colOff>
      <xdr:row>1</xdr:row>
      <xdr:rowOff>219075</xdr:rowOff>
    </xdr:from>
    <xdr:to>
      <xdr:col>1</xdr:col>
      <xdr:colOff>9477545</xdr:colOff>
      <xdr:row>1</xdr:row>
      <xdr:rowOff>1285875</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4075" y="266700"/>
          <a:ext cx="3600620" cy="1066800"/>
        </a:xfrm>
        <a:prstGeom prst="rect">
          <a:avLst/>
        </a:prstGeom>
      </xdr:spPr>
    </xdr:pic>
    <xdr:clientData/>
  </xdr:twoCellAnchor>
  <xdr:twoCellAnchor editAs="oneCell">
    <xdr:from>
      <xdr:col>1</xdr:col>
      <xdr:colOff>909411</xdr:colOff>
      <xdr:row>10</xdr:row>
      <xdr:rowOff>415925</xdr:rowOff>
    </xdr:from>
    <xdr:to>
      <xdr:col>1</xdr:col>
      <xdr:colOff>5284108</xdr:colOff>
      <xdr:row>10</xdr:row>
      <xdr:rowOff>2440988</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stretch>
          <a:fillRect/>
        </a:stretch>
      </xdr:blipFill>
      <xdr:spPr>
        <a:xfrm>
          <a:off x="966107" y="4985657"/>
          <a:ext cx="4374697" cy="2025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1423737</xdr:colOff>
      <xdr:row>1</xdr:row>
      <xdr:rowOff>260684</xdr:rowOff>
    </xdr:from>
    <xdr:to>
      <xdr:col>6</xdr:col>
      <xdr:colOff>1362150</xdr:colOff>
      <xdr:row>1</xdr:row>
      <xdr:rowOff>1327484</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69869" y="310816"/>
          <a:ext cx="3638123" cy="1066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571500</xdr:colOff>
      <xdr:row>1</xdr:row>
      <xdr:rowOff>190500</xdr:rowOff>
    </xdr:from>
    <xdr:to>
      <xdr:col>16</xdr:col>
      <xdr:colOff>514520</xdr:colOff>
      <xdr:row>1</xdr:row>
      <xdr:rowOff>1257300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238125"/>
          <a:ext cx="3600620" cy="1066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409575</xdr:colOff>
      <xdr:row>1</xdr:row>
      <xdr:rowOff>228600</xdr:rowOff>
    </xdr:from>
    <xdr:to>
      <xdr:col>11</xdr:col>
      <xdr:colOff>666920</xdr:colOff>
      <xdr:row>1</xdr:row>
      <xdr:rowOff>1321818</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3300" y="228600"/>
          <a:ext cx="3600620" cy="1066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409575</xdr:colOff>
      <xdr:row>0</xdr:row>
      <xdr:rowOff>228600</xdr:rowOff>
    </xdr:from>
    <xdr:to>
      <xdr:col>14</xdr:col>
      <xdr:colOff>352595</xdr:colOff>
      <xdr:row>0</xdr:row>
      <xdr:rowOff>1295400</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0425" y="228600"/>
          <a:ext cx="360062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31"/>
  <sheetViews>
    <sheetView tabSelected="1" zoomScale="80" zoomScaleNormal="80" workbookViewId="0">
      <selection activeCell="B4" sqref="B4"/>
    </sheetView>
  </sheetViews>
  <sheetFormatPr defaultRowHeight="15" x14ac:dyDescent="0.25"/>
  <cols>
    <col min="1" max="1" width="0.85546875" customWidth="1"/>
    <col min="2" max="2" width="146.42578125" customWidth="1"/>
  </cols>
  <sheetData>
    <row r="1" spans="2:2" ht="3.75" customHeight="1" thickBot="1" x14ac:dyDescent="0.3"/>
    <row r="2" spans="2:2" ht="116.25" customHeight="1" thickBot="1" x14ac:dyDescent="0.3">
      <c r="B2" s="89" t="s">
        <v>14</v>
      </c>
    </row>
    <row r="3" spans="2:2" ht="30" x14ac:dyDescent="0.25">
      <c r="B3" s="124" t="s">
        <v>217</v>
      </c>
    </row>
    <row r="5" spans="2:2" ht="60" x14ac:dyDescent="0.25">
      <c r="B5" s="6" t="s">
        <v>154</v>
      </c>
    </row>
    <row r="6" spans="2:2" x14ac:dyDescent="0.25">
      <c r="B6" s="6"/>
    </row>
    <row r="7" spans="2:2" ht="45" x14ac:dyDescent="0.25">
      <c r="B7" s="90" t="s">
        <v>161</v>
      </c>
    </row>
    <row r="8" spans="2:2" x14ac:dyDescent="0.25">
      <c r="B8" s="6"/>
    </row>
    <row r="9" spans="2:2" ht="60" x14ac:dyDescent="0.25">
      <c r="B9" s="86" t="s">
        <v>162</v>
      </c>
    </row>
    <row r="11" spans="2:2" ht="195" x14ac:dyDescent="0.25">
      <c r="B11" s="6" t="s">
        <v>163</v>
      </c>
    </row>
    <row r="12" spans="2:2" x14ac:dyDescent="0.25">
      <c r="B12" s="23"/>
    </row>
    <row r="13" spans="2:2" ht="60" x14ac:dyDescent="0.25">
      <c r="B13" s="86" t="s">
        <v>164</v>
      </c>
    </row>
    <row r="14" spans="2:2" x14ac:dyDescent="0.25">
      <c r="B14" s="86"/>
    </row>
    <row r="15" spans="2:2" ht="45" x14ac:dyDescent="0.25">
      <c r="B15" s="86" t="s">
        <v>165</v>
      </c>
    </row>
    <row r="16" spans="2:2" x14ac:dyDescent="0.25">
      <c r="B16" s="86"/>
    </row>
    <row r="17" spans="2:2" ht="75" x14ac:dyDescent="0.25">
      <c r="B17" s="86" t="s">
        <v>194</v>
      </c>
    </row>
    <row r="20" spans="2:2" x14ac:dyDescent="0.25">
      <c r="B20" s="123" t="s">
        <v>204</v>
      </c>
    </row>
    <row r="21" spans="2:2" ht="90" x14ac:dyDescent="0.25">
      <c r="B21" s="141" t="s">
        <v>210</v>
      </c>
    </row>
    <row r="22" spans="2:2" ht="100.5" customHeight="1" x14ac:dyDescent="0.25">
      <c r="B22" s="142" t="s">
        <v>211</v>
      </c>
    </row>
    <row r="23" spans="2:2" ht="119.25" customHeight="1" x14ac:dyDescent="0.25">
      <c r="B23" s="143" t="s">
        <v>212</v>
      </c>
    </row>
    <row r="24" spans="2:2" ht="90" x14ac:dyDescent="0.25">
      <c r="B24" s="142" t="s">
        <v>213</v>
      </c>
    </row>
    <row r="25" spans="2:2" ht="90" x14ac:dyDescent="0.25">
      <c r="B25" s="142" t="s">
        <v>214</v>
      </c>
    </row>
    <row r="26" spans="2:2" ht="90" x14ac:dyDescent="0.25">
      <c r="B26" s="142" t="s">
        <v>215</v>
      </c>
    </row>
    <row r="27" spans="2:2" ht="90" x14ac:dyDescent="0.25">
      <c r="B27" s="142" t="s">
        <v>216</v>
      </c>
    </row>
    <row r="28" spans="2:2" ht="60" x14ac:dyDescent="0.25">
      <c r="B28" s="6" t="s">
        <v>209</v>
      </c>
    </row>
    <row r="29" spans="2:2" ht="45" x14ac:dyDescent="0.25">
      <c r="B29" s="6" t="s">
        <v>206</v>
      </c>
    </row>
    <row r="30" spans="2:2" ht="45" x14ac:dyDescent="0.25">
      <c r="B30" s="6" t="s">
        <v>207</v>
      </c>
    </row>
    <row r="31" spans="2:2" ht="30" x14ac:dyDescent="0.25">
      <c r="B31" s="6" t="s">
        <v>205</v>
      </c>
    </row>
  </sheetData>
  <sheetProtection algorithmName="SHA-512" hashValue="oqNFbaaKDWY/2ZzGXiTluVsds2ARHMvedBzbThBSLwpKiai8yBw37M/LBQ4VJ9TI/zrT4iy6qgydJDV/R9ztUg==" saltValue="m8MnbQ3KOWIsNeHKXQ4IlQ==" spinCount="10000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P71"/>
  <sheetViews>
    <sheetView zoomScale="95" zoomScaleNormal="95" workbookViewId="0">
      <selection activeCell="B3" sqref="B3"/>
    </sheetView>
  </sheetViews>
  <sheetFormatPr defaultRowHeight="15" x14ac:dyDescent="0.25"/>
  <cols>
    <col min="1" max="1" width="0.85546875" customWidth="1"/>
    <col min="2" max="2" width="56.42578125" customWidth="1"/>
    <col min="3" max="3" width="29.5703125" style="23" customWidth="1"/>
    <col min="4" max="4" width="3.42578125" customWidth="1"/>
    <col min="5" max="5" width="18.5703125" style="28" hidden="1" customWidth="1"/>
    <col min="6" max="6" width="55.42578125" style="86" bestFit="1" customWidth="1"/>
    <col min="7" max="7" width="25.85546875" customWidth="1"/>
  </cols>
  <sheetData>
    <row r="1" spans="2:16" ht="3.75" customHeight="1" thickBot="1" x14ac:dyDescent="0.3"/>
    <row r="2" spans="2:16" ht="116.25" customHeight="1" thickBot="1" x14ac:dyDescent="0.3">
      <c r="B2" s="126" t="s">
        <v>44</v>
      </c>
      <c r="C2" s="127"/>
      <c r="D2" s="127"/>
      <c r="E2" s="127"/>
      <c r="F2" s="127"/>
      <c r="G2" s="127"/>
      <c r="H2" s="127"/>
      <c r="I2" s="127"/>
      <c r="J2" s="127"/>
      <c r="K2" s="128"/>
      <c r="L2" s="85"/>
      <c r="M2" s="85"/>
      <c r="N2" s="85"/>
      <c r="O2" s="85"/>
      <c r="P2" s="85"/>
    </row>
    <row r="3" spans="2:16" ht="30.75" customHeight="1" thickBot="1" x14ac:dyDescent="0.3">
      <c r="B3" s="125" t="str">
        <f>'User Guide'!B3</f>
        <v>Version 042119Q replaces Version 032919P as of 4/21/2019 
 - See Change History at bottom of User Guide</v>
      </c>
      <c r="C3" s="43" t="s">
        <v>90</v>
      </c>
      <c r="F3" s="129" t="s">
        <v>190</v>
      </c>
      <c r="G3" s="129"/>
    </row>
    <row r="4" spans="2:16" ht="15.75" thickBot="1" x14ac:dyDescent="0.3">
      <c r="B4" t="s">
        <v>91</v>
      </c>
      <c r="C4" s="44" t="s">
        <v>18</v>
      </c>
      <c r="E4" s="28" t="s">
        <v>16</v>
      </c>
      <c r="F4" s="119" t="str">
        <f>'TCO Calculator Outputs'!C5</f>
        <v>Diesel</v>
      </c>
      <c r="G4" s="120">
        <f ca="1">'TCO Calculator Outputs'!C6</f>
        <v>-94017.843985298707</v>
      </c>
    </row>
    <row r="5" spans="2:16" ht="15.75" thickBot="1" x14ac:dyDescent="0.3">
      <c r="B5" s="23"/>
      <c r="C5" s="41" t="s">
        <v>88</v>
      </c>
      <c r="F5" s="119" t="str">
        <f>'TCO Calculator Outputs'!D5</f>
        <v>Electric</v>
      </c>
      <c r="G5" s="122">
        <f ca="1">'TCO Calculator Outputs'!D6</f>
        <v>-80980.25640911331</v>
      </c>
    </row>
    <row r="6" spans="2:16" ht="15.75" thickBot="1" x14ac:dyDescent="0.3">
      <c r="B6" s="23"/>
      <c r="C6" s="42" t="s">
        <v>89</v>
      </c>
      <c r="F6" s="119" t="str">
        <f>'TCO Calculator Outputs'!E5</f>
        <v>% Delta</v>
      </c>
      <c r="G6" s="121">
        <f ca="1">'TCO Calculator Outputs'!E6</f>
        <v>0.13867141622843474</v>
      </c>
    </row>
    <row r="7" spans="2:16" x14ac:dyDescent="0.25">
      <c r="B7" s="23"/>
      <c r="C7" s="28"/>
    </row>
    <row r="8" spans="2:16" x14ac:dyDescent="0.25">
      <c r="B8" s="23"/>
      <c r="C8" s="28"/>
    </row>
    <row r="9" spans="2:16" ht="16.5" hidden="1" thickBot="1" x14ac:dyDescent="0.3">
      <c r="B9" s="11" t="s">
        <v>15</v>
      </c>
      <c r="C9" s="58" t="s">
        <v>8</v>
      </c>
      <c r="E9" s="28">
        <f>VLOOKUP(C9,'Look Up Values'!B6:C7,2,FALSE)</f>
        <v>1</v>
      </c>
      <c r="F9" s="86" t="s">
        <v>134</v>
      </c>
    </row>
    <row r="10" spans="2:16" ht="15.75" thickBot="1" x14ac:dyDescent="0.3">
      <c r="B10" s="23"/>
      <c r="C10" s="31"/>
    </row>
    <row r="11" spans="2:16" ht="16.5" thickBot="1" x14ac:dyDescent="0.3">
      <c r="B11" s="11" t="s">
        <v>79</v>
      </c>
      <c r="C11" s="31"/>
      <c r="F11" s="114" t="s">
        <v>127</v>
      </c>
      <c r="G11" s="130" t="s">
        <v>189</v>
      </c>
    </row>
    <row r="12" spans="2:16" x14ac:dyDescent="0.25">
      <c r="B12" s="59" t="s">
        <v>10</v>
      </c>
      <c r="C12" s="55" t="s">
        <v>0</v>
      </c>
      <c r="E12" s="28">
        <f>VLOOKUP(C12,'Look Up Values'!B12:C24,2,FALSE)</f>
        <v>1</v>
      </c>
      <c r="F12" s="86" t="s">
        <v>135</v>
      </c>
      <c r="G12" s="131"/>
      <c r="K12" s="6"/>
    </row>
    <row r="13" spans="2:16" x14ac:dyDescent="0.25">
      <c r="B13" s="60" t="s">
        <v>78</v>
      </c>
      <c r="C13" s="56">
        <f>VLOOKUP(E12,DutyCycles!B8:Q20,3,FALSE)</f>
        <v>37</v>
      </c>
      <c r="E13" s="35">
        <f>C13</f>
        <v>37</v>
      </c>
      <c r="F13" s="87" t="s">
        <v>133</v>
      </c>
      <c r="G13" s="131"/>
      <c r="K13" s="6"/>
    </row>
    <row r="14" spans="2:16" x14ac:dyDescent="0.25">
      <c r="B14" s="60" t="s">
        <v>80</v>
      </c>
      <c r="C14" s="56">
        <f>VLOOKUP(E12,DutyCycles!B8:Q20,5,FALSE)</f>
        <v>79</v>
      </c>
      <c r="E14" s="35">
        <f>C14</f>
        <v>79</v>
      </c>
      <c r="F14" s="87" t="s">
        <v>133</v>
      </c>
      <c r="G14" s="131"/>
      <c r="K14" s="6"/>
    </row>
    <row r="15" spans="2:16" x14ac:dyDescent="0.25">
      <c r="B15" s="64" t="s">
        <v>77</v>
      </c>
      <c r="C15" s="57">
        <f>IF(C14&gt;0,C14/C13,"")</f>
        <v>2.1351351351351351</v>
      </c>
      <c r="E15" s="34">
        <f>C15</f>
        <v>2.1351351351351351</v>
      </c>
      <c r="F15" s="88" t="s">
        <v>128</v>
      </c>
      <c r="G15" s="131"/>
      <c r="K15" s="6"/>
    </row>
    <row r="16" spans="2:16" ht="15.75" thickBot="1" x14ac:dyDescent="0.3">
      <c r="B16" s="60" t="s">
        <v>76</v>
      </c>
      <c r="C16" s="56">
        <f>VLOOKUP(E12,DutyCycles!B8:Q20,4,FALSE)</f>
        <v>9620</v>
      </c>
      <c r="E16" s="35">
        <f>C16</f>
        <v>9620</v>
      </c>
      <c r="F16" s="87" t="s">
        <v>133</v>
      </c>
      <c r="G16" s="132"/>
      <c r="K16" s="6"/>
    </row>
    <row r="17" spans="2:11" ht="15.75" thickBot="1" x14ac:dyDescent="0.3">
      <c r="B17" s="23"/>
      <c r="C17" s="31"/>
      <c r="E17" s="35"/>
      <c r="G17" s="4"/>
      <c r="K17" s="6"/>
    </row>
    <row r="18" spans="2:11" ht="16.5" thickBot="1" x14ac:dyDescent="0.3">
      <c r="B18" s="11" t="s">
        <v>26</v>
      </c>
      <c r="F18" s="114" t="s">
        <v>127</v>
      </c>
      <c r="G18" s="133" t="s">
        <v>189</v>
      </c>
      <c r="K18" s="6"/>
    </row>
    <row r="19" spans="2:11" ht="15" customHeight="1" x14ac:dyDescent="0.25">
      <c r="B19" s="60" t="s">
        <v>37</v>
      </c>
      <c r="C19" s="47">
        <v>10</v>
      </c>
      <c r="E19" s="36">
        <f>C19</f>
        <v>10</v>
      </c>
      <c r="F19" s="86" t="s">
        <v>132</v>
      </c>
      <c r="G19" s="134"/>
    </row>
    <row r="20" spans="2:11" x14ac:dyDescent="0.25">
      <c r="B20" s="60" t="s">
        <v>21</v>
      </c>
      <c r="C20" s="47">
        <v>1</v>
      </c>
      <c r="E20" s="36">
        <f t="shared" ref="E20:E32" si="0">C20</f>
        <v>1</v>
      </c>
      <c r="F20" s="86" t="s">
        <v>136</v>
      </c>
      <c r="G20" s="134"/>
    </row>
    <row r="21" spans="2:11" ht="30" x14ac:dyDescent="0.25">
      <c r="B21" s="60" t="s">
        <v>43</v>
      </c>
      <c r="C21" s="50">
        <v>50000</v>
      </c>
      <c r="E21" s="37">
        <f t="shared" si="0"/>
        <v>50000</v>
      </c>
      <c r="F21" s="86" t="s">
        <v>195</v>
      </c>
      <c r="G21" s="134"/>
    </row>
    <row r="22" spans="2:11" x14ac:dyDescent="0.25">
      <c r="B22" s="60" t="s">
        <v>180</v>
      </c>
      <c r="C22" s="50">
        <v>48000</v>
      </c>
      <c r="E22" s="37">
        <f t="shared" si="0"/>
        <v>48000</v>
      </c>
      <c r="F22" s="86" t="s">
        <v>198</v>
      </c>
      <c r="G22" s="134"/>
    </row>
    <row r="23" spans="2:11" x14ac:dyDescent="0.25">
      <c r="B23" s="60" t="s">
        <v>181</v>
      </c>
      <c r="C23" s="50">
        <v>5000</v>
      </c>
      <c r="E23" s="37">
        <f>C23</f>
        <v>5000</v>
      </c>
      <c r="F23" s="86" t="s">
        <v>199</v>
      </c>
      <c r="G23" s="134"/>
    </row>
    <row r="24" spans="2:11" ht="30" x14ac:dyDescent="0.25">
      <c r="B24" s="61" t="s">
        <v>191</v>
      </c>
      <c r="C24" s="49">
        <v>0.01</v>
      </c>
      <c r="E24" s="34">
        <f>C24</f>
        <v>0.01</v>
      </c>
      <c r="F24" s="86" t="s">
        <v>168</v>
      </c>
      <c r="G24" s="134"/>
    </row>
    <row r="25" spans="2:11" x14ac:dyDescent="0.25">
      <c r="B25" s="60" t="s">
        <v>22</v>
      </c>
      <c r="C25" s="50">
        <v>1000</v>
      </c>
      <c r="E25" s="37">
        <f t="shared" si="0"/>
        <v>1000</v>
      </c>
      <c r="F25" s="86" t="s">
        <v>200</v>
      </c>
      <c r="G25" s="134"/>
    </row>
    <row r="26" spans="2:11" x14ac:dyDescent="0.25">
      <c r="B26" s="60" t="s">
        <v>99</v>
      </c>
      <c r="C26" s="48">
        <v>0.05</v>
      </c>
      <c r="E26" s="34">
        <f>C26</f>
        <v>0.05</v>
      </c>
      <c r="F26" s="86" t="s">
        <v>130</v>
      </c>
      <c r="G26" s="134"/>
    </row>
    <row r="27" spans="2:11" x14ac:dyDescent="0.25">
      <c r="B27" s="60" t="s">
        <v>23</v>
      </c>
      <c r="C27" s="50">
        <v>1500</v>
      </c>
      <c r="E27" s="37">
        <f t="shared" si="0"/>
        <v>1500</v>
      </c>
      <c r="F27" s="86" t="s">
        <v>201</v>
      </c>
      <c r="G27" s="134"/>
    </row>
    <row r="28" spans="2:11" x14ac:dyDescent="0.25">
      <c r="B28" s="60" t="s">
        <v>106</v>
      </c>
      <c r="C28" s="48">
        <v>0.05</v>
      </c>
      <c r="E28" s="34">
        <f>C28</f>
        <v>0.05</v>
      </c>
      <c r="F28" s="86" t="s">
        <v>130</v>
      </c>
      <c r="G28" s="134"/>
    </row>
    <row r="29" spans="2:11" x14ac:dyDescent="0.25">
      <c r="B29" s="60" t="s">
        <v>19</v>
      </c>
      <c r="C29" s="53">
        <v>10</v>
      </c>
      <c r="E29" s="36">
        <f t="shared" si="0"/>
        <v>10</v>
      </c>
      <c r="F29" s="86" t="s">
        <v>137</v>
      </c>
      <c r="G29" s="134"/>
    </row>
    <row r="30" spans="2:11" x14ac:dyDescent="0.25">
      <c r="B30" s="60" t="s">
        <v>27</v>
      </c>
      <c r="C30" s="54" t="s">
        <v>11</v>
      </c>
      <c r="E30" s="28">
        <f>VLOOKUP(C30,'Look Up Values'!B38:C39,2,FALSE)</f>
        <v>2</v>
      </c>
      <c r="F30" s="86" t="s">
        <v>131</v>
      </c>
      <c r="G30" s="134"/>
    </row>
    <row r="31" spans="2:11" x14ac:dyDescent="0.25">
      <c r="B31" s="60" t="s">
        <v>33</v>
      </c>
      <c r="C31" s="52">
        <v>3.6</v>
      </c>
      <c r="E31" s="38">
        <f t="shared" si="0"/>
        <v>3.6</v>
      </c>
      <c r="F31" s="86" t="s">
        <v>173</v>
      </c>
      <c r="G31" s="134"/>
    </row>
    <row r="32" spans="2:11" ht="15.75" thickBot="1" x14ac:dyDescent="0.3">
      <c r="B32" s="60" t="s">
        <v>34</v>
      </c>
      <c r="C32" s="48">
        <v>0.05</v>
      </c>
      <c r="E32" s="34">
        <f t="shared" si="0"/>
        <v>0.05</v>
      </c>
      <c r="F32" s="86" t="s">
        <v>130</v>
      </c>
      <c r="G32" s="135"/>
    </row>
    <row r="33" spans="2:7" ht="15.75" thickBot="1" x14ac:dyDescent="0.3">
      <c r="B33" s="23"/>
      <c r="C33" s="33"/>
    </row>
    <row r="34" spans="2:7" ht="16.5" customHeight="1" thickBot="1" x14ac:dyDescent="0.3">
      <c r="B34" s="11" t="s">
        <v>31</v>
      </c>
      <c r="C34" s="33"/>
      <c r="F34" s="114" t="s">
        <v>127</v>
      </c>
      <c r="G34" s="133" t="s">
        <v>189</v>
      </c>
    </row>
    <row r="35" spans="2:7" ht="15" customHeight="1" x14ac:dyDescent="0.25">
      <c r="B35" s="59" t="s">
        <v>39</v>
      </c>
      <c r="C35" s="45">
        <v>1.5</v>
      </c>
      <c r="E35" s="36">
        <f>C35</f>
        <v>1.5</v>
      </c>
      <c r="F35" s="86" t="s">
        <v>193</v>
      </c>
      <c r="G35" s="134"/>
    </row>
    <row r="36" spans="2:7" x14ac:dyDescent="0.25">
      <c r="B36" s="60" t="s">
        <v>40</v>
      </c>
      <c r="C36" s="47">
        <v>8</v>
      </c>
      <c r="E36" s="36">
        <f>C36</f>
        <v>8</v>
      </c>
      <c r="F36" s="86" t="s">
        <v>129</v>
      </c>
      <c r="G36" s="134"/>
    </row>
    <row r="37" spans="2:7" ht="30" x14ac:dyDescent="0.25">
      <c r="B37" s="61" t="s">
        <v>81</v>
      </c>
      <c r="C37" s="48">
        <v>0.2</v>
      </c>
      <c r="E37" s="39">
        <f t="shared" ref="E37:E60" si="1">C37</f>
        <v>0.2</v>
      </c>
      <c r="F37" s="86" t="s">
        <v>138</v>
      </c>
      <c r="G37" s="134"/>
    </row>
    <row r="38" spans="2:7" ht="30" x14ac:dyDescent="0.25">
      <c r="B38" s="61" t="s">
        <v>83</v>
      </c>
      <c r="C38" s="48">
        <v>0.1</v>
      </c>
      <c r="E38" s="39">
        <f t="shared" si="1"/>
        <v>0.1</v>
      </c>
      <c r="F38" s="86" t="s">
        <v>139</v>
      </c>
      <c r="G38" s="134"/>
    </row>
    <row r="39" spans="2:7" ht="30" x14ac:dyDescent="0.25">
      <c r="B39" s="61" t="s">
        <v>92</v>
      </c>
      <c r="C39" s="48">
        <v>0.05</v>
      </c>
      <c r="E39" s="39">
        <f>C39</f>
        <v>0.05</v>
      </c>
      <c r="F39" s="86" t="s">
        <v>140</v>
      </c>
      <c r="G39" s="134"/>
    </row>
    <row r="40" spans="2:7" x14ac:dyDescent="0.25">
      <c r="B40" s="60" t="s">
        <v>38</v>
      </c>
      <c r="C40" s="49">
        <v>0.2</v>
      </c>
      <c r="E40" s="39">
        <f t="shared" si="1"/>
        <v>0.2</v>
      </c>
      <c r="F40" s="86" t="s">
        <v>141</v>
      </c>
      <c r="G40" s="134"/>
    </row>
    <row r="41" spans="2:7" x14ac:dyDescent="0.25">
      <c r="B41" s="64" t="s">
        <v>82</v>
      </c>
      <c r="C41" s="75">
        <f>C35*C13+C35*C13*(C37+C38+C40+C39)</f>
        <v>86.025000000000006</v>
      </c>
      <c r="E41" s="35">
        <f>C41</f>
        <v>86.025000000000006</v>
      </c>
      <c r="F41" s="88" t="s">
        <v>128</v>
      </c>
      <c r="G41" s="134"/>
    </row>
    <row r="42" spans="2:7" x14ac:dyDescent="0.25">
      <c r="B42" s="60" t="s">
        <v>84</v>
      </c>
      <c r="C42" s="50">
        <v>200</v>
      </c>
      <c r="E42" s="37">
        <f t="shared" si="1"/>
        <v>200</v>
      </c>
      <c r="F42" s="86" t="s">
        <v>202</v>
      </c>
      <c r="G42" s="134"/>
    </row>
    <row r="43" spans="2:7" x14ac:dyDescent="0.25">
      <c r="B43" s="60" t="s">
        <v>85</v>
      </c>
      <c r="C43" s="48">
        <v>1</v>
      </c>
      <c r="E43" s="39">
        <f>C43</f>
        <v>1</v>
      </c>
      <c r="F43" s="86" t="s">
        <v>142</v>
      </c>
      <c r="G43" s="134"/>
    </row>
    <row r="44" spans="2:7" x14ac:dyDescent="0.25">
      <c r="B44" s="64" t="s">
        <v>86</v>
      </c>
      <c r="C44" s="51">
        <f>C41*C42*C43</f>
        <v>17205</v>
      </c>
      <c r="E44" s="37">
        <f>C44</f>
        <v>17205</v>
      </c>
      <c r="F44" s="88" t="s">
        <v>128</v>
      </c>
      <c r="G44" s="134"/>
    </row>
    <row r="45" spans="2:7" x14ac:dyDescent="0.25">
      <c r="B45" s="60" t="s">
        <v>35</v>
      </c>
      <c r="C45" s="52">
        <v>0.12</v>
      </c>
      <c r="E45" s="38">
        <f t="shared" si="1"/>
        <v>0.12</v>
      </c>
      <c r="F45" s="86" t="s">
        <v>174</v>
      </c>
      <c r="G45" s="134"/>
    </row>
    <row r="46" spans="2:7" ht="15.75" thickBot="1" x14ac:dyDescent="0.3">
      <c r="B46" s="60" t="s">
        <v>36</v>
      </c>
      <c r="C46" s="76">
        <v>0.05</v>
      </c>
      <c r="E46" s="39">
        <f t="shared" si="1"/>
        <v>0.05</v>
      </c>
      <c r="F46" s="86" t="s">
        <v>143</v>
      </c>
      <c r="G46" s="135"/>
    </row>
    <row r="47" spans="2:7" ht="30" x14ac:dyDescent="0.25">
      <c r="B47" s="60" t="s">
        <v>42</v>
      </c>
      <c r="C47" s="50">
        <v>80000</v>
      </c>
      <c r="E47" s="37">
        <f t="shared" si="1"/>
        <v>80000</v>
      </c>
      <c r="F47" s="86" t="s">
        <v>196</v>
      </c>
      <c r="G47" s="136" t="s">
        <v>189</v>
      </c>
    </row>
    <row r="48" spans="2:7" x14ac:dyDescent="0.25">
      <c r="B48" s="60" t="s">
        <v>182</v>
      </c>
      <c r="C48" s="48">
        <v>0.5</v>
      </c>
      <c r="E48" s="39">
        <f t="shared" si="1"/>
        <v>0.5</v>
      </c>
      <c r="F48" s="86" t="s">
        <v>197</v>
      </c>
      <c r="G48" s="134"/>
    </row>
    <row r="49" spans="2:7" x14ac:dyDescent="0.25">
      <c r="B49" s="64" t="s">
        <v>93</v>
      </c>
      <c r="C49" s="51">
        <f>(C47-C48*C47)</f>
        <v>40000</v>
      </c>
      <c r="E49" s="37">
        <f>C49</f>
        <v>40000</v>
      </c>
      <c r="F49" s="88" t="s">
        <v>128</v>
      </c>
      <c r="G49" s="134"/>
    </row>
    <row r="50" spans="2:7" x14ac:dyDescent="0.25">
      <c r="B50" s="64" t="s">
        <v>181</v>
      </c>
      <c r="C50" s="110">
        <f>C23</f>
        <v>5000</v>
      </c>
      <c r="E50" s="37">
        <f>C50</f>
        <v>5000</v>
      </c>
      <c r="F50" s="88" t="s">
        <v>183</v>
      </c>
      <c r="G50" s="134"/>
    </row>
    <row r="51" spans="2:7" ht="30" x14ac:dyDescent="0.25">
      <c r="B51" s="61" t="s">
        <v>179</v>
      </c>
      <c r="C51" s="49">
        <v>0.05</v>
      </c>
      <c r="E51" s="39">
        <f>C51</f>
        <v>0.05</v>
      </c>
      <c r="F51" s="86" t="s">
        <v>167</v>
      </c>
      <c r="G51" s="134"/>
    </row>
    <row r="52" spans="2:7" ht="30" x14ac:dyDescent="0.25">
      <c r="B52" s="60" t="s">
        <v>203</v>
      </c>
      <c r="C52" s="48">
        <v>1</v>
      </c>
      <c r="E52" s="39">
        <f>C52</f>
        <v>1</v>
      </c>
      <c r="F52" s="86" t="s">
        <v>208</v>
      </c>
      <c r="G52" s="134"/>
    </row>
    <row r="53" spans="2:7" x14ac:dyDescent="0.25">
      <c r="B53" s="60" t="s">
        <v>23</v>
      </c>
      <c r="C53" s="50">
        <v>3000</v>
      </c>
      <c r="E53" s="37">
        <f t="shared" ref="E53" si="2">C53</f>
        <v>3000</v>
      </c>
      <c r="F53" s="86" t="s">
        <v>145</v>
      </c>
      <c r="G53" s="134"/>
    </row>
    <row r="54" spans="2:7" x14ac:dyDescent="0.25">
      <c r="B54" s="60" t="s">
        <v>106</v>
      </c>
      <c r="C54" s="48">
        <v>0.05</v>
      </c>
      <c r="E54" s="34">
        <f>C54</f>
        <v>0.05</v>
      </c>
      <c r="F54" s="86" t="s">
        <v>144</v>
      </c>
      <c r="G54" s="134"/>
    </row>
    <row r="55" spans="2:7" ht="45" x14ac:dyDescent="0.25">
      <c r="B55" s="104" t="s">
        <v>172</v>
      </c>
      <c r="C55" s="106" t="s">
        <v>171</v>
      </c>
      <c r="E55" s="107">
        <f>VLOOKUP(C55,'Look Up Values'!B52:C53,2,FALSE)</f>
        <v>2</v>
      </c>
      <c r="F55" s="105" t="s">
        <v>178</v>
      </c>
      <c r="G55" s="134"/>
    </row>
    <row r="56" spans="2:7" ht="30" x14ac:dyDescent="0.25">
      <c r="B56" s="60" t="s">
        <v>147</v>
      </c>
      <c r="C56" s="48">
        <v>0.02</v>
      </c>
      <c r="E56" s="39">
        <f t="shared" si="1"/>
        <v>0.02</v>
      </c>
      <c r="F56" s="86" t="s">
        <v>149</v>
      </c>
      <c r="G56" s="134"/>
    </row>
    <row r="57" spans="2:7" ht="30" x14ac:dyDescent="0.25">
      <c r="B57" s="60" t="s">
        <v>146</v>
      </c>
      <c r="C57" s="48">
        <v>0.02</v>
      </c>
      <c r="E57" s="39">
        <f t="shared" si="1"/>
        <v>0.02</v>
      </c>
      <c r="F57" s="86" t="s">
        <v>149</v>
      </c>
      <c r="G57" s="134"/>
    </row>
    <row r="58" spans="2:7" ht="30" x14ac:dyDescent="0.25">
      <c r="B58" s="60" t="s">
        <v>148</v>
      </c>
      <c r="C58" s="48">
        <v>0.02</v>
      </c>
      <c r="E58" s="39">
        <f t="shared" si="1"/>
        <v>0.02</v>
      </c>
      <c r="F58" s="86" t="s">
        <v>149</v>
      </c>
      <c r="G58" s="134"/>
    </row>
    <row r="59" spans="2:7" ht="30" x14ac:dyDescent="0.25">
      <c r="B59" s="60" t="s">
        <v>52</v>
      </c>
      <c r="C59" s="48">
        <v>0.02</v>
      </c>
      <c r="E59" s="39">
        <f t="shared" si="1"/>
        <v>0.02</v>
      </c>
      <c r="F59" s="86" t="s">
        <v>149</v>
      </c>
      <c r="G59" s="134"/>
    </row>
    <row r="60" spans="2:7" ht="30.75" thickBot="1" x14ac:dyDescent="0.3">
      <c r="B60" s="60" t="s">
        <v>53</v>
      </c>
      <c r="C60" s="48">
        <v>0.02</v>
      </c>
      <c r="E60" s="39">
        <f t="shared" si="1"/>
        <v>0.02</v>
      </c>
      <c r="F60" s="86" t="s">
        <v>149</v>
      </c>
      <c r="G60" s="135"/>
    </row>
    <row r="61" spans="2:7" ht="15.75" thickBot="1" x14ac:dyDescent="0.3">
      <c r="C61"/>
      <c r="E61" s="39"/>
    </row>
    <row r="62" spans="2:7" ht="16.5" thickBot="1" x14ac:dyDescent="0.3">
      <c r="B62" s="11" t="s">
        <v>113</v>
      </c>
      <c r="C62"/>
      <c r="E62" s="39"/>
      <c r="F62" s="114" t="s">
        <v>127</v>
      </c>
      <c r="G62" s="130" t="s">
        <v>189</v>
      </c>
    </row>
    <row r="63" spans="2:7" ht="30" customHeight="1" x14ac:dyDescent="0.25">
      <c r="B63" s="60" t="s">
        <v>114</v>
      </c>
      <c r="C63" s="112" t="s">
        <v>116</v>
      </c>
      <c r="E63" s="36">
        <f>VLOOKUP(C63,'Look Up Values'!B43:C44,2,FALSE)</f>
        <v>2</v>
      </c>
      <c r="F63" s="86" t="s">
        <v>150</v>
      </c>
      <c r="G63" s="131"/>
    </row>
    <row r="64" spans="2:7" ht="30" x14ac:dyDescent="0.25">
      <c r="B64" s="60" t="s">
        <v>41</v>
      </c>
      <c r="C64" s="48">
        <v>0.05</v>
      </c>
      <c r="E64" s="39">
        <f>C64</f>
        <v>0.05</v>
      </c>
      <c r="F64" s="86" t="s">
        <v>151</v>
      </c>
      <c r="G64" s="131"/>
    </row>
    <row r="65" spans="2:7" ht="15.75" thickBot="1" x14ac:dyDescent="0.3">
      <c r="B65" s="60" t="s">
        <v>123</v>
      </c>
      <c r="C65" s="79">
        <v>1</v>
      </c>
      <c r="E65" s="36">
        <f>C65</f>
        <v>1</v>
      </c>
      <c r="F65" s="86" t="s">
        <v>152</v>
      </c>
      <c r="G65" s="132"/>
    </row>
    <row r="66" spans="2:7" ht="15.75" thickBot="1" x14ac:dyDescent="0.3">
      <c r="B66" s="23"/>
      <c r="C66" s="32"/>
      <c r="E66" s="39"/>
    </row>
    <row r="67" spans="2:7" ht="16.5" customHeight="1" thickBot="1" x14ac:dyDescent="0.3">
      <c r="B67" s="11" t="s">
        <v>45</v>
      </c>
      <c r="C67" s="32"/>
      <c r="E67" s="39"/>
      <c r="F67" s="114" t="s">
        <v>127</v>
      </c>
      <c r="G67" s="130" t="s">
        <v>189</v>
      </c>
    </row>
    <row r="68" spans="2:7" x14ac:dyDescent="0.25">
      <c r="B68" s="59" t="s">
        <v>48</v>
      </c>
      <c r="C68" s="62" t="s">
        <v>50</v>
      </c>
      <c r="E68" s="28">
        <f>VLOOKUP(C68,'Look Up Values'!B47:C49,2,FALSE)</f>
        <v>1</v>
      </c>
      <c r="F68" s="86" t="s">
        <v>176</v>
      </c>
      <c r="G68" s="131"/>
    </row>
    <row r="69" spans="2:7" x14ac:dyDescent="0.25">
      <c r="B69" s="60" t="s">
        <v>51</v>
      </c>
      <c r="C69" s="63">
        <v>0.08</v>
      </c>
      <c r="E69" s="67">
        <f>C69</f>
        <v>0.08</v>
      </c>
      <c r="F69" s="86" t="s">
        <v>153</v>
      </c>
      <c r="G69" s="131"/>
    </row>
    <row r="70" spans="2:7" ht="30" x14ac:dyDescent="0.25">
      <c r="B70" s="60" t="s">
        <v>175</v>
      </c>
      <c r="C70" s="48">
        <v>0.05</v>
      </c>
      <c r="E70" s="39">
        <f>C70</f>
        <v>0.05</v>
      </c>
      <c r="F70" s="86" t="s">
        <v>177</v>
      </c>
      <c r="G70" s="131"/>
    </row>
    <row r="71" spans="2:7" ht="15.75" thickBot="1" x14ac:dyDescent="0.3">
      <c r="G71" s="132"/>
    </row>
  </sheetData>
  <sheetProtection algorithmName="SHA-512" hashValue="wGA6+7MMrhLeHpKSOtNeOVeWZ8Z5ZRSWOhR/+QW8Lv91LnESO/EIfM8iowwHdqbXm5gLEVJlBWViP1MCyRNRNA==" saltValue="yjq3TRP3tpmGzuDYuIkk5A==" spinCount="100000" sheet="1" objects="1" scenarios="1"/>
  <mergeCells count="8">
    <mergeCell ref="B2:K2"/>
    <mergeCell ref="F3:G3"/>
    <mergeCell ref="G11:G16"/>
    <mergeCell ref="G62:G65"/>
    <mergeCell ref="G67:G71"/>
    <mergeCell ref="G18:G32"/>
    <mergeCell ref="G34:G46"/>
    <mergeCell ref="G47:G60"/>
  </mergeCells>
  <dataValidations xWindow="630" yWindow="586" count="40">
    <dataValidation type="whole" allowBlank="1" showInputMessage="1" showErrorMessage="1" errorTitle="Vehicle Ownership Period Error" error="Key in number between 1 and 30 years" promptTitle="Expected Ownership Period" prompt="Key in expected ownership period in whole years" sqref="C19">
      <formula1>1</formula1>
      <formula2>30</formula2>
    </dataValidation>
    <dataValidation type="whole" allowBlank="1" showInputMessage="1" showErrorMessage="1" errorTitle="Number of Vehicles Error" error="Key in number between 1 and 1,000 trucks" promptTitle="Number of Vehicles Considered" prompt="Key in number of vehicles considered in TCO calculation" sqref="C20">
      <formula1>1</formula1>
      <formula2>1000</formula2>
    </dataValidation>
    <dataValidation type="whole" allowBlank="1" showInputMessage="1" showErrorMessage="1" errorTitle="Baseline Purchase Cost error" error="Key number between $1 and $1,000,000_x000a_" promptTitle="Baseline Purchase Cost" prompt="Input baseline diesel/gas truck purchase cost" sqref="C21">
      <formula1>1</formula1>
      <formula2>1000000</formula2>
    </dataValidation>
    <dataValidation type="whole" allowBlank="1" showInputMessage="1" showErrorMessage="1" errorTitle="Maintenance Cost Error" error="Key number between $1 and $1,000,000" promptTitle="Annual Baseline Maintenance" prompt="Enter annual per truck maintenance &amp; service cost" sqref="C25">
      <formula1>0</formula1>
      <formula2>1000000</formula2>
    </dataValidation>
    <dataValidation type="whole" allowBlank="1" showInputMessage="1" showErrorMessage="1" errorTitle="Insurance Cost Error" error="Key number between $1 and $100,000" promptTitle="Annual Baseline Insurance" prompt="Enter annual per truck insurance cost" sqref="C27">
      <formula1>0</formula1>
      <formula2>100000</formula2>
    </dataValidation>
    <dataValidation type="decimal" allowBlank="1" showInputMessage="1" showErrorMessage="1" errorTitle="Average MPG Error" error="Key in number between 1.0 and 100.0 MPG" promptTitle="Baseline MPG" prompt="Enter baseline average MPG " sqref="C29">
      <formula1>1</formula1>
      <formula2>100</formula2>
    </dataValidation>
    <dataValidation type="decimal" allowBlank="1" showInputMessage="1" showErrorMessage="1" errorTitle="Fuel Price Error" error="Key number between $0.01 and $10.0" promptTitle="Current Fuel Price" prompt="Enter current price of fuel per gallon in dollars_x000a_" sqref="C31">
      <formula1>0.01</formula1>
      <formula2>10</formula2>
    </dataValidation>
    <dataValidation type="decimal" allowBlank="1" showInputMessage="1" showErrorMessage="1" errorTitle="Electricity Price Error" error="Key number between $0.01 and $1.00" promptTitle="Current Electricity Price" prompt="Enter current electricity price in dollars_x000a_" sqref="C45">
      <formula1>0.01</formula1>
      <formula2>5</formula2>
    </dataValidation>
    <dataValidation type="decimal" allowBlank="1" showInputMessage="1" showErrorMessage="1" errorTitle="Electricity Trend Error" error="Key number between -1,000% and +1,000%" promptTitle="Electricity Price Trend" prompt="Enter electricity price trend as % change per year " sqref="C46">
      <formula1>-10</formula1>
      <formula2>10</formula2>
    </dataValidation>
    <dataValidation type="whole" allowBlank="1" showInputMessage="1" showErrorMessage="1" errorTitle="Battery Life Error" error="Key in number between 1.0 and 20 years" promptTitle="Expected Battery Life" prompt="Enter expected battery life in years" sqref="C36">
      <formula1>1</formula1>
      <formula2>20</formula2>
    </dataValidation>
    <dataValidation type="decimal" allowBlank="1" showInputMessage="1" showErrorMessage="1" errorTitle="Battery low cutoff" error="Key number between 0% and 50%" promptTitle="Battery Low Cutoff %" prompt="Enter battery low cutoff percent of full capacity" sqref="C40">
      <formula1>0</formula1>
      <formula2>0.5</formula2>
    </dataValidation>
    <dataValidation type="whole" allowBlank="1" showInputMessage="1" showErrorMessage="1" errorTitle="Battery Cost Error" error="Key in number between $1/kWh  and $1,000/kWh capacity" promptTitle="Battery Cost" prompt="Enter new battery cost per kWh capacity in dollars" sqref="C42">
      <formula1>0</formula1>
      <formula2>1000</formula2>
    </dataValidation>
    <dataValidation type="whole" allowBlank="1" showInputMessage="1" showErrorMessage="1" errorTitle="Electric Truck MSRP Error" error="Key number between $1 and $1,000,000" promptTitle="Electric Truck MSRP" prompt="Enter manufacturers suggested retail price in dollars" sqref="C47">
      <formula1>1</formula1>
      <formula2>1000000</formula2>
    </dataValidation>
    <dataValidation type="decimal" allowBlank="1" showInputMessage="1" showErrorMessage="1" errorTitle="Grants error" error="Key value between 0% and 100% of MSRP" promptTitle="Grants, Incentives etc " prompt="Enter value of grants, incentives, vouchers, etc. as % of MSRP" sqref="C48">
      <formula1>0</formula1>
      <formula2>1</formula2>
    </dataValidation>
    <dataValidation type="decimal" allowBlank="1" showInputMessage="1" showErrorMessage="1" errorTitle="Infrastructure error" error="Key value between 0% and 500% of MSRP" promptTitle="Charging Infrastructure Cost" prompt="Enter cost of charging infrastructure per truck as % of electric truck MSRP" sqref="C64">
      <formula1>0</formula1>
      <formula2>5</formula2>
    </dataValidation>
    <dataValidation type="decimal" allowBlank="1" showInputMessage="1" showErrorMessage="1" errorTitle="Baseline Residual Value Error" error="Key number between 0% and 100% of MSRP" promptTitle="Baseline Residual Value" prompt="Enter expected residual value at end of ownership period as % of adjusted price afer rebates, etc." sqref="C24">
      <formula1>0</formula1>
      <formula2>1</formula2>
    </dataValidation>
    <dataValidation type="whole" operator="lessThanOrEqual" allowBlank="1" showInputMessage="1" showErrorMessage="1" errorTitle="Baseline Adjusted Cost error" error="Number must be less than baseline MSRP in Cell C21_x000a_" promptTitle="Baseline Adjusted Purchase Cost" prompt="Input baseline diesel/gas truck actual purchase cost after factoring in rebates, incentives, trade-ins, etc. in dollars_x000a_" sqref="C22">
      <formula1>C21</formula1>
    </dataValidation>
    <dataValidation type="decimal" allowBlank="1" showInputMessage="1" showErrorMessage="1" errorTitle="Exp Maintenance Cost Error" error="Key a number between 0% and 100% of baseline maintenance costs" promptTitle="Expected Maintenance Reduction" prompt="Enter expected maintenance cost reduction with electric vehicle versus baseline vehicle as % of baseline maintenance cost" sqref="C66:C67">
      <formula1>0</formula1>
      <formula2>1</formula2>
    </dataValidation>
    <dataValidation type="decimal" allowBlank="1" showInputMessage="1" showErrorMessage="1" errorTitle="Driver Retention Cost Error" error="Key a number between -100% and +100% of electric truck MSRP_x000a_" promptTitle="Driver Retention Costs" prompt="Enter expected change in operating costs for hiring and retaining drivers for  electric vehicle versus baseline vehicle as % of MSRP" sqref="C56">
      <formula1>-1</formula1>
      <formula2>1</formula2>
    </dataValidation>
    <dataValidation type="decimal" allowBlank="1" showInputMessage="1" showErrorMessage="1" errorTitle="Technician Retention Cost Error" error="Key a number between -100% and +100% of electric truck MSRP_x000a_" promptTitle="Technician Retention Costs" prompt="Enter expected change in operating costs for hiring and retaining technicians for  electric vehicle versus baseline vehicle as % of MSRP" sqref="C57">
      <formula1>-1</formula1>
      <formula2>1</formula2>
    </dataValidation>
    <dataValidation type="decimal" allowBlank="1" showInputMessage="1" showErrorMessage="1" errorTitle="Compliance Cost Error" error="Key a number between -100% and +100% of electric truck MSRP_x000a_" promptTitle="Emissions Compliance Costs" prompt="Enter expected change in operating costs for emissions compliance for electric vehicle versus baseline vehicle as % of MSRP" sqref="C58">
      <formula1>-1</formula1>
      <formula2>1</formula2>
    </dataValidation>
    <dataValidation type="decimal" allowBlank="1" showInputMessage="1" showErrorMessage="1" errorTitle="Brand Image Error" error="Key a number between -100% and +100% of electric truck MSRP_x000a_" promptTitle="Emissions Compliance Costs" prompt="Enter expected change in Brand Image value because of electric vehicle versus baseline vehicle as % of MSRP" sqref="C59">
      <formula1>-1</formula1>
      <formula2>1</formula2>
    </dataValidation>
    <dataValidation type="decimal" allowBlank="1" showInputMessage="1" showErrorMessage="1" errorTitle="Brand Image Error" error="Key a number between -100% and +100% of electric truck MSRP_x000a_" promptTitle="Other Overhead Costs" prompt="Enter expected change in other indirect overhead costs because of electric vehicle versus baseline vehicle as % of MSRP" sqref="C60">
      <formula1>-1</formula1>
      <formula2>1</formula2>
    </dataValidation>
    <dataValidation type="decimal" allowBlank="1" showInputMessage="1" showErrorMessage="1" errorTitle="Battery Life Error" error="Key in number between 0.1 and 10.0 kWh/mi" promptTitle="New Battery Efficiency" prompt="Enter new battery efficiency in kWh per mile" sqref="C35">
      <formula1>0.1</formula1>
      <formula2>10</formula2>
    </dataValidation>
    <dataValidation type="decimal" allowBlank="1" showInputMessage="1" showErrorMessage="1" errorTitle="Daily Max Trip Cap Error" error="Key a number between 0% and 1,000% of average daily mileage" promptTitle="Capacity Margin for Longest Trip" prompt="Enter expected battery capacity margin to deal with longest vehicle daily trip vs. average daily trip" sqref="C37">
      <formula1>0</formula1>
      <formula2>10</formula2>
    </dataValidation>
    <dataValidation type="decimal" allowBlank="1" showInputMessage="1" showErrorMessage="1" errorTitle="Daily Max Trip Cap Error" error="Key a number between 0% and 100% of average daily battery capacity_x000a_" promptTitle="Capacity Margin for Temps" prompt="Enter expected battery capacity margin to deal with hot and cold ambient temperatures vs. average daily trip battery capacity_x000a_" sqref="C38">
      <formula1>0</formula1>
      <formula2>1</formula2>
    </dataValidation>
    <dataValidation type="decimal" allowBlank="1" showInputMessage="1" showErrorMessage="1" errorTitle="Repl Battery Pack Error" error="Key a number between 0% and 100% of portion of battery pack to replace at end of battery life_x000a_" promptTitle="Pack % Replacement at EOL" prompt="Enter expected portion of the battery pack to replace at end of battery life.  100% replaces entire pack, 20% would replace some worst portion of the battery pack to create a remanufactured pack._x000a_" sqref="C43">
      <formula1>0</formula1>
      <formula2>1</formula2>
    </dataValidation>
    <dataValidation type="decimal" allowBlank="1" showInputMessage="1" showErrorMessage="1" errorTitle="Fuel Price Trend Error" error="Key number between -1,000% and +1,000%" promptTitle="Fuel Price Trend" prompt="Enter fuel price trend as % change per year" sqref="C32">
      <formula1>-10</formula1>
      <formula2>10</formula2>
    </dataValidation>
    <dataValidation type="decimal" allowBlank="1" showInputMessage="1" showErrorMessage="1" errorTitle="Driver Efficiency Error" error="Key a number between 0% and 100% of average daily battery capacity_x000a_" promptTitle="Capacity Margin for Driver" prompt="Enter expected battery capacity margin to deal with driver skill level (efficiency) in managing battery capacity_x000a_" sqref="C39">
      <formula1>0</formula1>
      <formula2>1</formula2>
    </dataValidation>
    <dataValidation type="decimal" allowBlank="1" showInputMessage="1" showErrorMessage="1" errorTitle="Discount Rate error" error="Key a number between 1% and 100%" promptTitle="Discount Rate" prompt="Enter discount rate as %" sqref="C69">
      <formula1>0.01</formula1>
      <formula2>1</formula2>
    </dataValidation>
    <dataValidation type="decimal" allowBlank="1" showInputMessage="1" showErrorMessage="1" errorTitle="Maintenance Trend Error" error="Key value between -1,000% and +1,000%_x000a_" promptTitle="Baseline Maintenance Trend" prompt="Enter projected maintenance cost trend as % increase per year" sqref="C26">
      <formula1>-10</formula1>
      <formula2>10</formula2>
    </dataValidation>
    <dataValidation type="decimal" allowBlank="1" showInputMessage="1" showErrorMessage="1" errorTitle="Insurance Trend Error" error="Key number between -1,000% and +1,000%" promptTitle="Baseline Insurance Trend" prompt="Enter projected insurance cost trend as % increase per year" sqref="C28">
      <formula1>-10</formula1>
      <formula2>10</formula2>
    </dataValidation>
    <dataValidation type="decimal" allowBlank="1" showInputMessage="1" showErrorMessage="1" errorTitle="CBEV Residual Value Error" error="Key number between 0% and 100% of MSRP" promptTitle="CBEV Residual Value" prompt="Enter expected residual value at end of ownership period as % of adjusted vehicle aquistion cost (after grants, incentives, rebates, etc.)_x000a_" sqref="C51">
      <formula1>0</formula1>
      <formula2>1</formula2>
    </dataValidation>
    <dataValidation type="decimal" allowBlank="1" showInputMessage="1" showErrorMessage="1" errorTitle="Exp Maintenance Cost Error" error="Key a number between -1,000% and +1,000% of baseline maintenance costs" promptTitle="Expected Maintenance Reduction" prompt="Enter expected maintenance cost reduction with electric vehicle versus baseline vehicle as % of baseline maintenance cost" sqref="C52">
      <formula1>-1000</formula1>
      <formula2>1000</formula2>
    </dataValidation>
    <dataValidation type="whole" allowBlank="1" showInputMessage="1" showErrorMessage="1" errorTitle="Insurance Cost Error" error="Key number between $1 and $1,000,000" promptTitle="Annual CBEV Insurance" prompt="Enter annual per truck insurance cost" sqref="C53">
      <formula1>1</formula1>
      <formula2>1000000</formula2>
    </dataValidation>
    <dataValidation type="decimal" allowBlank="1" showInputMessage="1" showErrorMessage="1" errorTitle="Insurance Trend Error" error="Key number between -1,000% and +1,000%" promptTitle="CBEV Insurance Trend" prompt="Enter projected insurance cost trend as % increase per year" sqref="C54">
      <formula1>-10</formula1>
      <formula2>10</formula2>
    </dataValidation>
    <dataValidation type="whole" allowBlank="1" showInputMessage="1" showErrorMessage="1" errorTitle="Trucks per Charge Station Error" error="Key a number between 1 and 10 " promptTitle="Trucks per Charge Station" prompt="Enter expected trucks per charge station per day" sqref="C65">
      <formula1>1</formula1>
      <formula2>10</formula2>
    </dataValidation>
    <dataValidation type="decimal" allowBlank="1" showInputMessage="1" showErrorMessage="1" errorTitle="Down Payment Error" error="Key number between 0% and 100%" promptTitle="Down Payment % per truck" prompt="Enter down payment as % of MSRP_x000a__x000a_" sqref="C70">
      <formula1>0</formula1>
      <formula2>1</formula2>
    </dataValidation>
    <dataValidation type="decimal" allowBlank="1" showInputMessage="1" showErrorMessage="1" errorTitle="Baseline Adjusted Cost error" error="Key number between $1 and a value less than adjust price after rebates._x000a__x000a_" promptTitle="Trade In Value" prompt="Input baseline diesel/gas truck trade-in in dollars_x000a_" sqref="C50">
      <formula1>1</formula1>
      <formula2>E49</formula2>
    </dataValidation>
    <dataValidation type="decimal" allowBlank="1" showInputMessage="1" showErrorMessage="1" errorTitle="Baseline Adjusted Cost error" error="Key number between $0 and a value less than adjust price after rebates._x000a__x000a_" promptTitle="Trade In Value" prompt="Input baseline diesel/gas truck trade-in in dollars_x000a_" sqref="C23">
      <formula1>0</formula1>
      <formula2>E22</formula2>
    </dataValidation>
  </dataValidation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xWindow="630" yWindow="586" count="6">
        <x14:dataValidation type="list" allowBlank="1" showInputMessage="1" showErrorMessage="1" errorTitle="Scope Error" error="Select only from drop down choices" promptTitle="TCO Scope" prompt="Select  from drop down list_x000a_">
          <x14:formula1>
            <xm:f>'Look Up Values'!$B$6:$B$7</xm:f>
          </x14:formula1>
          <xm:sqref>C9</xm:sqref>
        </x14:dataValidation>
        <x14:dataValidation type="list" allowBlank="1" showInputMessage="1" showErrorMessage="1" errorTitle="Duty Cycle Error" error="Select only from drop down choices" promptTitle="Duty Cycle" prompt="Select from drop down list">
          <x14:formula1>
            <xm:f>'Look Up Values'!$B$12:$B$24</xm:f>
          </x14:formula1>
          <xm:sqref>C12</xm:sqref>
        </x14:dataValidation>
        <x14:dataValidation type="list" allowBlank="1" showInputMessage="1" showErrorMessage="1" errorTitle="Baseline Fuel Type Error" error="Select only from drop down choices" promptTitle="Baseline Fuel Type" prompt="Select  from drop down list_x000a_">
          <x14:formula1>
            <xm:f>'Look Up Values'!$B$38:$B$39</xm:f>
          </x14:formula1>
          <xm:sqref>C30</xm:sqref>
        </x14:dataValidation>
        <x14:dataValidation type="list" allowBlank="1" showInputMessage="1" showErrorMessage="1" errorTitle="Purchase Type Error" error="Select only from pull down menu" promptTitle="Type of Purchase" prompt="Select type of purchase from pull down menu">
          <x14:formula1>
            <xm:f>'Look Up Values'!$B$47:$B$49</xm:f>
          </x14:formula1>
          <xm:sqref>C68</xm:sqref>
        </x14:dataValidation>
        <x14:dataValidation type="list" allowBlank="1" showInputMessage="1" showErrorMessage="1" errorTitle="Charging System  Error" error="Select only from pull down menu choices_x000a_" promptTitle="Charging Cost Method" prompt="Select method for allocating cost of charging infrastructure from pull down menu">
          <x14:formula1>
            <xm:f>'Look Up Values'!$B$43:$B$44</xm:f>
          </x14:formula1>
          <xm:sqref>C63</xm:sqref>
        </x14:dataValidation>
        <x14:dataValidation type="list" allowBlank="1" showInputMessage="1" showErrorMessage="1">
          <x14:formula1>
            <xm:f>'Look Up Values'!$B$52:$B$53</xm:f>
          </x14:formula1>
          <xm:sqref>C55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G78"/>
  <sheetViews>
    <sheetView workbookViewId="0">
      <selection activeCell="B3" sqref="B3"/>
    </sheetView>
  </sheetViews>
  <sheetFormatPr defaultRowHeight="15" x14ac:dyDescent="0.25"/>
  <cols>
    <col min="1" max="1" width="0.85546875" customWidth="1"/>
    <col min="2" max="2" width="33.85546875" customWidth="1"/>
    <col min="3" max="3" width="13.140625" customWidth="1"/>
    <col min="4" max="4" width="12.42578125" customWidth="1"/>
    <col min="5" max="5" width="10.140625" bestFit="1" customWidth="1"/>
  </cols>
  <sheetData>
    <row r="1" spans="2:33" ht="3.75" customHeight="1" thickBot="1" x14ac:dyDescent="0.3"/>
    <row r="2" spans="2:33" ht="116.25" customHeight="1" thickBot="1" x14ac:dyDescent="0.3">
      <c r="B2" s="126" t="s">
        <v>74</v>
      </c>
      <c r="C2" s="127"/>
      <c r="D2" s="127"/>
      <c r="E2" s="127"/>
      <c r="F2" s="127"/>
      <c r="G2" s="127"/>
      <c r="H2" s="127"/>
      <c r="I2" s="127"/>
      <c r="J2" s="127"/>
      <c r="K2" s="127"/>
      <c r="L2" s="127"/>
      <c r="M2" s="127"/>
      <c r="N2" s="127"/>
      <c r="O2" s="127"/>
      <c r="P2" s="127"/>
      <c r="Q2" s="127"/>
      <c r="R2" s="128"/>
    </row>
    <row r="3" spans="2:33" ht="60" x14ac:dyDescent="0.25">
      <c r="B3" s="124" t="str">
        <f>'User Guide'!B3</f>
        <v>Version 042119Q replaces Version 032919P as of 4/21/2019 
 - See Change History at bottom of User Guide</v>
      </c>
    </row>
    <row r="4" spans="2:33" ht="15.75" thickBot="1" x14ac:dyDescent="0.3"/>
    <row r="5" spans="2:33" ht="15.75" x14ac:dyDescent="0.25">
      <c r="B5" s="77" t="s">
        <v>111</v>
      </c>
      <c r="C5" s="80" t="str">
        <f>IF('TCO Calculator Inputs'!E30=1,"Gasoline","Diesel")</f>
        <v>Diesel</v>
      </c>
      <c r="D5" s="80" t="s">
        <v>109</v>
      </c>
      <c r="E5" s="81" t="s">
        <v>110</v>
      </c>
    </row>
    <row r="6" spans="2:33" ht="15.75" thickBot="1" x14ac:dyDescent="0.3">
      <c r="B6" s="82" t="s">
        <v>112</v>
      </c>
      <c r="C6" s="83">
        <f ca="1">C10</f>
        <v>-94017.843985298707</v>
      </c>
      <c r="D6" s="83">
        <f ca="1">C26</f>
        <v>-80980.25640911331</v>
      </c>
      <c r="E6" s="84">
        <f ca="1">(C6-D6)/C6</f>
        <v>0.13867141622843474</v>
      </c>
    </row>
    <row r="7" spans="2:33" x14ac:dyDescent="0.25">
      <c r="C7" t="s">
        <v>124</v>
      </c>
      <c r="D7" t="s">
        <v>125</v>
      </c>
    </row>
    <row r="8" spans="2:33" ht="15.75" thickBot="1" x14ac:dyDescent="0.3"/>
    <row r="9" spans="2:33" ht="32.25" thickBot="1" x14ac:dyDescent="0.3">
      <c r="B9" s="24" t="s">
        <v>107</v>
      </c>
    </row>
    <row r="10" spans="2:33" x14ac:dyDescent="0.25">
      <c r="B10" s="66" t="s">
        <v>105</v>
      </c>
      <c r="C10" s="68">
        <f ca="1">C12+NPV('TCO Calculator Inputs'!$E$69,D12,E12,F12,G12,H12,I12,J12,K12,L12,M12,N12,O12,P12,Q12,R12,S12,T12,U12,V12,W12,X12,Y12,Z12,AA12,AB12,AC12,AD12,AE12,AF12,AG12)</f>
        <v>-94017.843985298707</v>
      </c>
    </row>
    <row r="11" spans="2:33" x14ac:dyDescent="0.25">
      <c r="B11" s="66" t="s">
        <v>94</v>
      </c>
      <c r="C11" s="70">
        <v>0</v>
      </c>
      <c r="D11" s="70">
        <f ca="1">IF(CELL("type",C11)="v",IF(('TCO Calculator Inputs'!$E$19-C11)&gt;0,C11+1,""),"")</f>
        <v>1</v>
      </c>
      <c r="E11" s="70">
        <f ca="1">IF(CELL("type",D11)="v",IF(('TCO Calculator Inputs'!$E$19-D11)&gt;0,D11+1,""),"")</f>
        <v>2</v>
      </c>
      <c r="F11" s="70">
        <f ca="1">IF(CELL("type",E11)="v",IF(('TCO Calculator Inputs'!$E$19-E11)&gt;0,E11+1,""),"")</f>
        <v>3</v>
      </c>
      <c r="G11" s="70">
        <f ca="1">IF(CELL("type",F11)="v",IF(('TCO Calculator Inputs'!$E$19-F11)&gt;0,F11+1,""),"")</f>
        <v>4</v>
      </c>
      <c r="H11" s="70">
        <f ca="1">IF(CELL("type",G11)="v",IF(('TCO Calculator Inputs'!$E$19-G11)&gt;0,G11+1,""),"")</f>
        <v>5</v>
      </c>
      <c r="I11" s="70">
        <f ca="1">IF(CELL("type",H11)="v",IF(('TCO Calculator Inputs'!$E$19-H11)&gt;0,H11+1,""),"")</f>
        <v>6</v>
      </c>
      <c r="J11" s="70">
        <f ca="1">IF(CELL("type",I11)="v",IF(('TCO Calculator Inputs'!$E$19-I11)&gt;0,I11+1,""),"")</f>
        <v>7</v>
      </c>
      <c r="K11" s="70">
        <f ca="1">IF(CELL("type",J11)="v",IF(('TCO Calculator Inputs'!$E$19-J11)&gt;0,J11+1,""),"")</f>
        <v>8</v>
      </c>
      <c r="L11" s="70">
        <f ca="1">IF(CELL("type",K11)="v",IF(('TCO Calculator Inputs'!$E$19-K11)&gt;0,K11+1,""),"")</f>
        <v>9</v>
      </c>
      <c r="M11" s="70">
        <f ca="1">IF(CELL("type",L11)="v",IF(('TCO Calculator Inputs'!$E$19-L11)&gt;0,L11+1,""),"")</f>
        <v>10</v>
      </c>
      <c r="N11" s="70" t="str">
        <f ca="1">IF(CELL("type",M11)="v",IF(('TCO Calculator Inputs'!$E$19-M11)&gt;0,M11+1,""),"")</f>
        <v/>
      </c>
      <c r="O11" s="70" t="str">
        <f ca="1">IF(CELL("type",N11)="v",IF(('TCO Calculator Inputs'!$E$19-N11)&gt;0,N11+1,""),"")</f>
        <v/>
      </c>
      <c r="P11" s="70" t="str">
        <f ca="1">IF(CELL("type",O11)="v",IF(('TCO Calculator Inputs'!$E$19-O11)&gt;0,O11+1,""),"")</f>
        <v/>
      </c>
      <c r="Q11" s="70" t="str">
        <f ca="1">IF(CELL("type",P11)="v",IF(('TCO Calculator Inputs'!$E$19-P11)&gt;0,P11+1,""),"")</f>
        <v/>
      </c>
      <c r="R11" s="70" t="str">
        <f ca="1">IF(CELL("type",Q11)="v",IF(('TCO Calculator Inputs'!$E$19-Q11)&gt;0,Q11+1,""),"")</f>
        <v/>
      </c>
      <c r="S11" s="70" t="str">
        <f ca="1">IF(CELL("type",R11)="v",IF(('TCO Calculator Inputs'!$E$19-R11)&gt;0,R11+1,""),"")</f>
        <v/>
      </c>
      <c r="T11" s="70" t="str">
        <f ca="1">IF(CELL("type",S11)="v",IF(('TCO Calculator Inputs'!$E$19-S11)&gt;0,S11+1,""),"")</f>
        <v/>
      </c>
      <c r="U11" s="70" t="str">
        <f ca="1">IF(CELL("type",T11)="v",IF(('TCO Calculator Inputs'!$E$19-T11)&gt;0,T11+1,""),"")</f>
        <v/>
      </c>
      <c r="V11" s="70" t="str">
        <f ca="1">IF(CELL("type",U11)="v",IF(('TCO Calculator Inputs'!$E$19-U11)&gt;0,U11+1,""),"")</f>
        <v/>
      </c>
      <c r="W11" s="70" t="str">
        <f ca="1">IF(CELL("type",V11)="v",IF(('TCO Calculator Inputs'!$E$19-V11)&gt;0,V11+1,""),"")</f>
        <v/>
      </c>
      <c r="X11" s="70" t="str">
        <f ca="1">IF(CELL("type",W11)="v",IF(('TCO Calculator Inputs'!$E$19-W11)&gt;0,W11+1,""),"")</f>
        <v/>
      </c>
      <c r="Y11" s="70" t="str">
        <f ca="1">IF(CELL("type",X11)="v",IF(('TCO Calculator Inputs'!$E$19-X11)&gt;0,X11+1,""),"")</f>
        <v/>
      </c>
      <c r="Z11" s="70" t="str">
        <f ca="1">IF(CELL("type",Y11)="v",IF(('TCO Calculator Inputs'!$E$19-Y11)&gt;0,Y11+1,""),"")</f>
        <v/>
      </c>
      <c r="AA11" s="70" t="str">
        <f ca="1">IF(CELL("type",Z11)="v",IF(('TCO Calculator Inputs'!$E$19-Z11)&gt;0,Z11+1,""),"")</f>
        <v/>
      </c>
      <c r="AB11" s="70" t="str">
        <f ca="1">IF(CELL("type",AA11)="v",IF(('TCO Calculator Inputs'!$E$19-AA11)&gt;0,AA11+1,""),"")</f>
        <v/>
      </c>
      <c r="AC11" s="70" t="str">
        <f ca="1">IF(CELL("type",AB11)="v",IF(('TCO Calculator Inputs'!$E$19-AB11)&gt;0,AB11+1,""),"")</f>
        <v/>
      </c>
      <c r="AD11" s="70" t="str">
        <f ca="1">IF(CELL("type",AC11)="v",IF(('TCO Calculator Inputs'!$E$19-AC11)&gt;0,AC11+1,""),"")</f>
        <v/>
      </c>
      <c r="AE11" s="70" t="str">
        <f ca="1">IF(CELL("type",AD11)="v",IF(('TCO Calculator Inputs'!$E$19-AD11)&gt;0,AD11+1,""),"")</f>
        <v/>
      </c>
      <c r="AF11" s="70" t="str">
        <f ca="1">IF(CELL("type",AE11)="v",IF(('TCO Calculator Inputs'!$E$19-AE11)&gt;0,AE11+1,""),"")</f>
        <v/>
      </c>
      <c r="AG11" s="70" t="str">
        <f ca="1">IF(CELL("type",AF11)="v",IF(('TCO Calculator Inputs'!$E$19-AF11)&gt;0,AF11+1,""),"")</f>
        <v/>
      </c>
    </row>
    <row r="12" spans="2:33" x14ac:dyDescent="0.25">
      <c r="B12" s="66" t="s">
        <v>100</v>
      </c>
      <c r="C12" s="69">
        <f t="shared" ref="C12:AG12" ca="1" si="0">IF(CELL("type",C$11)="v",SUM(C13:C23),"")</f>
        <v>-43000</v>
      </c>
      <c r="D12" s="69">
        <f t="shared" ca="1" si="0"/>
        <v>-6261.3600000000006</v>
      </c>
      <c r="E12" s="69">
        <f t="shared" ca="1" si="0"/>
        <v>-6574.4279999999999</v>
      </c>
      <c r="F12" s="69">
        <f t="shared" ca="1" si="0"/>
        <v>-6903.1494000000012</v>
      </c>
      <c r="G12" s="69">
        <f t="shared" ca="1" si="0"/>
        <v>-7248.3068700000003</v>
      </c>
      <c r="H12" s="69">
        <f t="shared" ca="1" si="0"/>
        <v>-7610.722213500002</v>
      </c>
      <c r="I12" s="69">
        <f t="shared" ca="1" si="0"/>
        <v>-7991.2583241749999</v>
      </c>
      <c r="J12" s="69">
        <f t="shared" ca="1" si="0"/>
        <v>-8390.8212403837515</v>
      </c>
      <c r="K12" s="69">
        <f t="shared" ca="1" si="0"/>
        <v>-8810.3623024029384</v>
      </c>
      <c r="L12" s="69">
        <f t="shared" ca="1" si="0"/>
        <v>-9250.8804175230853</v>
      </c>
      <c r="M12" s="69">
        <f t="shared" ca="1" si="0"/>
        <v>-9233.4244383992391</v>
      </c>
      <c r="N12" s="69" t="str">
        <f t="shared" ca="1" si="0"/>
        <v/>
      </c>
      <c r="O12" s="69" t="str">
        <f t="shared" ca="1" si="0"/>
        <v/>
      </c>
      <c r="P12" s="69" t="str">
        <f t="shared" ca="1" si="0"/>
        <v/>
      </c>
      <c r="Q12" s="69" t="str">
        <f t="shared" ca="1" si="0"/>
        <v/>
      </c>
      <c r="R12" s="69" t="str">
        <f t="shared" ca="1" si="0"/>
        <v/>
      </c>
      <c r="S12" s="69" t="str">
        <f t="shared" ca="1" si="0"/>
        <v/>
      </c>
      <c r="T12" s="69" t="str">
        <f t="shared" ca="1" si="0"/>
        <v/>
      </c>
      <c r="U12" s="69" t="str">
        <f t="shared" ca="1" si="0"/>
        <v/>
      </c>
      <c r="V12" s="69" t="str">
        <f t="shared" ca="1" si="0"/>
        <v/>
      </c>
      <c r="W12" s="69" t="str">
        <f t="shared" ca="1" si="0"/>
        <v/>
      </c>
      <c r="X12" s="69" t="str">
        <f t="shared" ca="1" si="0"/>
        <v/>
      </c>
      <c r="Y12" s="69" t="str">
        <f t="shared" ca="1" si="0"/>
        <v/>
      </c>
      <c r="Z12" s="69" t="str">
        <f t="shared" ca="1" si="0"/>
        <v/>
      </c>
      <c r="AA12" s="69" t="str">
        <f t="shared" ca="1" si="0"/>
        <v/>
      </c>
      <c r="AB12" s="69" t="str">
        <f t="shared" ca="1" si="0"/>
        <v/>
      </c>
      <c r="AC12" s="69" t="str">
        <f t="shared" ca="1" si="0"/>
        <v/>
      </c>
      <c r="AD12" s="69" t="str">
        <f t="shared" ca="1" si="0"/>
        <v/>
      </c>
      <c r="AE12" s="69" t="str">
        <f t="shared" ca="1" si="0"/>
        <v/>
      </c>
      <c r="AF12" s="69" t="str">
        <f t="shared" ca="1" si="0"/>
        <v/>
      </c>
      <c r="AG12" s="69" t="str">
        <f t="shared" ca="1" si="0"/>
        <v/>
      </c>
    </row>
    <row r="13" spans="2:33" x14ac:dyDescent="0.25">
      <c r="B13" s="46" t="s">
        <v>95</v>
      </c>
      <c r="C13" s="71">
        <f>IF('TCO Calculator Inputs'!$E$68=1,-('TCO Calculator Inputs'!$E$22-'TCO Calculator Inputs'!$E$23)*'TCO Calculator Inputs'!$E$20,"")</f>
        <v>-43000</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row>
    <row r="14" spans="2:33" x14ac:dyDescent="0.25">
      <c r="B14" s="46" t="s">
        <v>97</v>
      </c>
      <c r="C14" s="72"/>
      <c r="D14" s="73">
        <f ca="1">IF(CELL("type",D$11)="v",(-('TCO Calculator Inputs'!$E$16/'TCO Calculator Inputs'!$E$29)*(('TCO Calculator Inputs'!$E$31)*(1+'TCO Calculator Inputs'!$E$32)^D$11))*'TCO Calculator Inputs'!$E$20,"")</f>
        <v>-3636.36</v>
      </c>
      <c r="E14" s="73">
        <f ca="1">IF(CELL("type",E$11)="v",(-('TCO Calculator Inputs'!$E$16/'TCO Calculator Inputs'!$E$29)*(('TCO Calculator Inputs'!$E$31)*(1+'TCO Calculator Inputs'!$E$32)^E$11))*'TCO Calculator Inputs'!$E$20,"")</f>
        <v>-3818.1780000000003</v>
      </c>
      <c r="F14" s="73">
        <f ca="1">IF(CELL("type",F$11)="v",(-('TCO Calculator Inputs'!$E$16/'TCO Calculator Inputs'!$E$29)*(('TCO Calculator Inputs'!$E$31)*(1+'TCO Calculator Inputs'!$E$32)^F$11))*'TCO Calculator Inputs'!$E$20,"")</f>
        <v>-4009.0869000000007</v>
      </c>
      <c r="G14" s="73">
        <f ca="1">IF(CELL("type",G$11)="v",(-('TCO Calculator Inputs'!$E$16/'TCO Calculator Inputs'!$E$29)*(('TCO Calculator Inputs'!$E$31)*(1+'TCO Calculator Inputs'!$E$32)^G$11))*'TCO Calculator Inputs'!$E$20,"")</f>
        <v>-4209.5412450000003</v>
      </c>
      <c r="H14" s="73">
        <f ca="1">IF(CELL("type",H$11)="v",(-('TCO Calculator Inputs'!$E$16/'TCO Calculator Inputs'!$E$29)*(('TCO Calculator Inputs'!$E$31)*(1+'TCO Calculator Inputs'!$E$32)^H$11))*'TCO Calculator Inputs'!$E$20,"")</f>
        <v>-4420.0183072500013</v>
      </c>
      <c r="I14" s="73">
        <f ca="1">IF(CELL("type",I$11)="v",(-('TCO Calculator Inputs'!$E$16/'TCO Calculator Inputs'!$E$29)*(('TCO Calculator Inputs'!$E$31)*(1+'TCO Calculator Inputs'!$E$32)^I$11))*'TCO Calculator Inputs'!$E$20,"")</f>
        <v>-4641.0192226125</v>
      </c>
      <c r="J14" s="73">
        <f ca="1">IF(CELL("type",J$11)="v",(-('TCO Calculator Inputs'!$E$16/'TCO Calculator Inputs'!$E$29)*(('TCO Calculator Inputs'!$E$31)*(1+'TCO Calculator Inputs'!$E$32)^J$11))*'TCO Calculator Inputs'!$E$20,"")</f>
        <v>-4873.0701837431261</v>
      </c>
      <c r="K14" s="73">
        <f ca="1">IF(CELL("type",K$11)="v",(-('TCO Calculator Inputs'!$E$16/'TCO Calculator Inputs'!$E$29)*(('TCO Calculator Inputs'!$E$31)*(1+'TCO Calculator Inputs'!$E$32)^K$11))*'TCO Calculator Inputs'!$E$20,"")</f>
        <v>-5116.7236929302817</v>
      </c>
      <c r="L14" s="73">
        <f ca="1">IF(CELL("type",L$11)="v",(-('TCO Calculator Inputs'!$E$16/'TCO Calculator Inputs'!$E$29)*(('TCO Calculator Inputs'!$E$31)*(1+'TCO Calculator Inputs'!$E$32)^L$11))*'TCO Calculator Inputs'!$E$20,"")</f>
        <v>-5372.5598775767958</v>
      </c>
      <c r="M14" s="73">
        <f ca="1">IF(CELL("type",M$11)="v",(-('TCO Calculator Inputs'!$E$16/'TCO Calculator Inputs'!$E$29)*(('TCO Calculator Inputs'!$E$31)*(1+'TCO Calculator Inputs'!$E$32)^M$11))*'TCO Calculator Inputs'!$E$20,"")</f>
        <v>-5641.1878714556351</v>
      </c>
      <c r="N14" s="73" t="str">
        <f ca="1">IF(CELL("type",N$11)="v",(-('TCO Calculator Inputs'!$E$16/'TCO Calculator Inputs'!$E$29)*(('TCO Calculator Inputs'!$E$31)*(1+'TCO Calculator Inputs'!$E$32)^N$11))*'TCO Calculator Inputs'!$E$20,"")</f>
        <v/>
      </c>
      <c r="O14" s="73" t="str">
        <f ca="1">IF(CELL("type",O$11)="v",(-('TCO Calculator Inputs'!$E$16/'TCO Calculator Inputs'!$E$29)*(('TCO Calculator Inputs'!$E$31)*(1+'TCO Calculator Inputs'!$E$32)^O$11))*'TCO Calculator Inputs'!$E$20,"")</f>
        <v/>
      </c>
      <c r="P14" s="73" t="str">
        <f ca="1">IF(CELL("type",P$11)="v",(-('TCO Calculator Inputs'!$E$16/'TCO Calculator Inputs'!$E$29)*(('TCO Calculator Inputs'!$E$31)*(1+'TCO Calculator Inputs'!$E$32)^P$11))*'TCO Calculator Inputs'!$E$20,"")</f>
        <v/>
      </c>
      <c r="Q14" s="73" t="str">
        <f ca="1">IF(CELL("type",Q$11)="v",(-('TCO Calculator Inputs'!$E$16/'TCO Calculator Inputs'!$E$29)*(('TCO Calculator Inputs'!$E$31)*(1+'TCO Calculator Inputs'!$E$32)^Q$11))*'TCO Calculator Inputs'!$E$20,"")</f>
        <v/>
      </c>
      <c r="R14" s="73" t="str">
        <f ca="1">IF(CELL("type",R$11)="v",(-('TCO Calculator Inputs'!$E$16/'TCO Calculator Inputs'!$E$29)*(('TCO Calculator Inputs'!$E$31)*(1+'TCO Calculator Inputs'!$E$32)^R$11))*'TCO Calculator Inputs'!$E$20,"")</f>
        <v/>
      </c>
      <c r="S14" s="73" t="str">
        <f ca="1">IF(CELL("type",S$11)="v",(-('TCO Calculator Inputs'!$E$16/'TCO Calculator Inputs'!$E$29)*(('TCO Calculator Inputs'!$E$31)*(1+'TCO Calculator Inputs'!$E$32)^S$11))*'TCO Calculator Inputs'!$E$20,"")</f>
        <v/>
      </c>
      <c r="T14" s="73" t="str">
        <f ca="1">IF(CELL("type",T$11)="v",(-('TCO Calculator Inputs'!$E$16/'TCO Calculator Inputs'!$E$29)*(('TCO Calculator Inputs'!$E$31)*(1+'TCO Calculator Inputs'!$E$32)^T$11))*'TCO Calculator Inputs'!$E$20,"")</f>
        <v/>
      </c>
      <c r="U14" s="73" t="str">
        <f ca="1">IF(CELL("type",U$11)="v",(-('TCO Calculator Inputs'!$E$16/'TCO Calculator Inputs'!$E$29)*(('TCO Calculator Inputs'!$E$31)*(1+'TCO Calculator Inputs'!$E$32)^U$11))*'TCO Calculator Inputs'!$E$20,"")</f>
        <v/>
      </c>
      <c r="V14" s="73" t="str">
        <f ca="1">IF(CELL("type",V$11)="v",(-('TCO Calculator Inputs'!$E$16/'TCO Calculator Inputs'!$E$29)*(('TCO Calculator Inputs'!$E$31)*(1+'TCO Calculator Inputs'!$E$32)^V$11))*'TCO Calculator Inputs'!$E$20,"")</f>
        <v/>
      </c>
      <c r="W14" s="73" t="str">
        <f ca="1">IF(CELL("type",W$11)="v",(-('TCO Calculator Inputs'!$E$16/'TCO Calculator Inputs'!$E$29)*(('TCO Calculator Inputs'!$E$31)*(1+'TCO Calculator Inputs'!$E$32)^W$11))*'TCO Calculator Inputs'!$E$20,"")</f>
        <v/>
      </c>
      <c r="X14" s="73" t="str">
        <f ca="1">IF(CELL("type",X$11)="v",(-('TCO Calculator Inputs'!$E$16/'TCO Calculator Inputs'!$E$29)*(('TCO Calculator Inputs'!$E$31)*(1+'TCO Calculator Inputs'!$E$32)^X$11))*'TCO Calculator Inputs'!$E$20,"")</f>
        <v/>
      </c>
      <c r="Y14" s="73" t="str">
        <f ca="1">IF(CELL("type",Y$11)="v",(-('TCO Calculator Inputs'!$E$16/'TCO Calculator Inputs'!$E$29)*(('TCO Calculator Inputs'!$E$31)*(1+'TCO Calculator Inputs'!$E$32)^Y$11))*'TCO Calculator Inputs'!$E$20,"")</f>
        <v/>
      </c>
      <c r="Z14" s="73" t="str">
        <f ca="1">IF(CELL("type",Z$11)="v",(-('TCO Calculator Inputs'!$E$16/'TCO Calculator Inputs'!$E$29)*(('TCO Calculator Inputs'!$E$31)*(1+'TCO Calculator Inputs'!$E$32)^Z$11))*'TCO Calculator Inputs'!$E$20,"")</f>
        <v/>
      </c>
      <c r="AA14" s="73" t="str">
        <f ca="1">IF(CELL("type",AA$11)="v",(-('TCO Calculator Inputs'!$E$16/'TCO Calculator Inputs'!$E$29)*(('TCO Calculator Inputs'!$E$31)*(1+'TCO Calculator Inputs'!$E$32)^AA$11))*'TCO Calculator Inputs'!$E$20,"")</f>
        <v/>
      </c>
      <c r="AB14" s="73" t="str">
        <f ca="1">IF(CELL("type",AB$11)="v",(-('TCO Calculator Inputs'!$E$16/'TCO Calculator Inputs'!$E$29)*(('TCO Calculator Inputs'!$E$31)*(1+'TCO Calculator Inputs'!$E$32)^AB$11))*'TCO Calculator Inputs'!$E$20,"")</f>
        <v/>
      </c>
      <c r="AC14" s="73" t="str">
        <f ca="1">IF(CELL("type",AC$11)="v",(-('TCO Calculator Inputs'!$E$16/'TCO Calculator Inputs'!$E$29)*(('TCO Calculator Inputs'!$E$31)*(1+'TCO Calculator Inputs'!$E$32)^AC$11))*'TCO Calculator Inputs'!$E$20,"")</f>
        <v/>
      </c>
      <c r="AD14" s="73" t="str">
        <f ca="1">IF(CELL("type",AD$11)="v",(-('TCO Calculator Inputs'!$E$16/'TCO Calculator Inputs'!$E$29)*(('TCO Calculator Inputs'!$E$31)*(1+'TCO Calculator Inputs'!$E$32)^AD$11))*'TCO Calculator Inputs'!$E$20,"")</f>
        <v/>
      </c>
      <c r="AE14" s="73" t="str">
        <f ca="1">IF(CELL("type",AE$11)="v",(-('TCO Calculator Inputs'!$E$16/'TCO Calculator Inputs'!$E$29)*(('TCO Calculator Inputs'!$E$31)*(1+'TCO Calculator Inputs'!$E$32)^AE$11))*'TCO Calculator Inputs'!$E$20,"")</f>
        <v/>
      </c>
      <c r="AF14" s="73" t="str">
        <f ca="1">IF(CELL("type",AF$11)="v",(-('TCO Calculator Inputs'!$E$16/'TCO Calculator Inputs'!$E$29)*(('TCO Calculator Inputs'!$E$31)*(1+'TCO Calculator Inputs'!$E$32)^AF$11))*'TCO Calculator Inputs'!$E$20,"")</f>
        <v/>
      </c>
      <c r="AG14" s="73" t="str">
        <f ca="1">IF(CELL("type",AG$11)="v",(-('TCO Calculator Inputs'!$E$16/'TCO Calculator Inputs'!$E$29)*(('TCO Calculator Inputs'!$E$31)*(1+'TCO Calculator Inputs'!$E$32)^AG$11))*'TCO Calculator Inputs'!$E$20,"")</f>
        <v/>
      </c>
    </row>
    <row r="15" spans="2:33" x14ac:dyDescent="0.25">
      <c r="B15" s="46" t="s">
        <v>98</v>
      </c>
      <c r="C15" s="74"/>
      <c r="D15" s="73">
        <f ca="1">IF(CELL("type",D$11)="v",(-('TCO Calculator Inputs'!$E$25)*(1+'TCO Calculator Inputs'!$E$26)^D$11)*'TCO Calculator Inputs'!$E$20,"")</f>
        <v>-1050</v>
      </c>
      <c r="E15" s="73">
        <f ca="1">IF(CELL("type",E$11)="v",(-('TCO Calculator Inputs'!$E$25)*(1+'TCO Calculator Inputs'!$E$26)^E$11)*'TCO Calculator Inputs'!$E$20,"")</f>
        <v>-1102.5</v>
      </c>
      <c r="F15" s="73">
        <f ca="1">IF(CELL("type",F$11)="v",(-('TCO Calculator Inputs'!$E$25)*(1+'TCO Calculator Inputs'!$E$26)^F$11)*'TCO Calculator Inputs'!$E$20,"")</f>
        <v>-1157.6250000000002</v>
      </c>
      <c r="G15" s="73">
        <f ca="1">IF(CELL("type",G$11)="v",(-('TCO Calculator Inputs'!$E$25)*(1+'TCO Calculator Inputs'!$E$26)^G$11)*'TCO Calculator Inputs'!$E$20,"")</f>
        <v>-1215.5062499999999</v>
      </c>
      <c r="H15" s="73">
        <f ca="1">IF(CELL("type",H$11)="v",(-('TCO Calculator Inputs'!$E$25)*(1+'TCO Calculator Inputs'!$E$26)^H$11)*'TCO Calculator Inputs'!$E$20,"")</f>
        <v>-1276.2815625000001</v>
      </c>
      <c r="I15" s="73">
        <f ca="1">IF(CELL("type",I$11)="v",(-('TCO Calculator Inputs'!$E$25)*(1+'TCO Calculator Inputs'!$E$26)^I$11)*'TCO Calculator Inputs'!$E$20,"")</f>
        <v>-1340.095640625</v>
      </c>
      <c r="J15" s="73">
        <f ca="1">IF(CELL("type",J$11)="v",(-('TCO Calculator Inputs'!$E$25)*(1+'TCO Calculator Inputs'!$E$26)^J$11)*'TCO Calculator Inputs'!$E$20,"")</f>
        <v>-1407.1004226562502</v>
      </c>
      <c r="K15" s="73">
        <f ca="1">IF(CELL("type",K$11)="v",(-('TCO Calculator Inputs'!$E$25)*(1+'TCO Calculator Inputs'!$E$26)^K$11)*'TCO Calculator Inputs'!$E$20,"")</f>
        <v>-1477.4554437890627</v>
      </c>
      <c r="L15" s="73">
        <f ca="1">IF(CELL("type",L$11)="v",(-('TCO Calculator Inputs'!$E$25)*(1+'TCO Calculator Inputs'!$E$26)^L$11)*'TCO Calculator Inputs'!$E$20,"")</f>
        <v>-1551.3282159785158</v>
      </c>
      <c r="M15" s="73">
        <f ca="1">IF(CELL("type",M$11)="v",(-('TCO Calculator Inputs'!$E$25)*(1+'TCO Calculator Inputs'!$E$26)^M$11)*'TCO Calculator Inputs'!$E$20,"")</f>
        <v>-1628.8946267774415</v>
      </c>
      <c r="N15" s="73" t="str">
        <f ca="1">IF(CELL("type",N$11)="v",(-('TCO Calculator Inputs'!$E$25)*(1+'TCO Calculator Inputs'!$E$26)^N$11)*'TCO Calculator Inputs'!$E$20,"")</f>
        <v/>
      </c>
      <c r="O15" s="73" t="str">
        <f ca="1">IF(CELL("type",O$11)="v",(-('TCO Calculator Inputs'!$E$25)*(1+'TCO Calculator Inputs'!$E$26)^O$11)*'TCO Calculator Inputs'!$E$20,"")</f>
        <v/>
      </c>
      <c r="P15" s="73" t="str">
        <f ca="1">IF(CELL("type",P$11)="v",(-('TCO Calculator Inputs'!$E$25)*(1+'TCO Calculator Inputs'!$E$26)^P$11)*'TCO Calculator Inputs'!$E$20,"")</f>
        <v/>
      </c>
      <c r="Q15" s="73" t="str">
        <f ca="1">IF(CELL("type",Q$11)="v",(-('TCO Calculator Inputs'!$E$25)*(1+'TCO Calculator Inputs'!$E$26)^Q$11)*'TCO Calculator Inputs'!$E$20,"")</f>
        <v/>
      </c>
      <c r="R15" s="73" t="str">
        <f ca="1">IF(CELL("type",R$11)="v",(-('TCO Calculator Inputs'!$E$25)*(1+'TCO Calculator Inputs'!$E$26)^R$11)*'TCO Calculator Inputs'!$E$20,"")</f>
        <v/>
      </c>
      <c r="S15" s="73" t="str">
        <f ca="1">IF(CELL("type",S$11)="v",(-('TCO Calculator Inputs'!$E$25)*(1+'TCO Calculator Inputs'!$E$26)^S$11)*'TCO Calculator Inputs'!$E$20,"")</f>
        <v/>
      </c>
      <c r="T15" s="73" t="str">
        <f ca="1">IF(CELL("type",T$11)="v",(-('TCO Calculator Inputs'!$E$25)*(1+'TCO Calculator Inputs'!$E$26)^T$11)*'TCO Calculator Inputs'!$E$20,"")</f>
        <v/>
      </c>
      <c r="U15" s="73" t="str">
        <f ca="1">IF(CELL("type",U$11)="v",(-('TCO Calculator Inputs'!$E$25)*(1+'TCO Calculator Inputs'!$E$26)^U$11)*'TCO Calculator Inputs'!$E$20,"")</f>
        <v/>
      </c>
      <c r="V15" s="73" t="str">
        <f ca="1">IF(CELL("type",V$11)="v",(-('TCO Calculator Inputs'!$E$25)*(1+'TCO Calculator Inputs'!$E$26)^V$11)*'TCO Calculator Inputs'!$E$20,"")</f>
        <v/>
      </c>
      <c r="W15" s="73" t="str">
        <f ca="1">IF(CELL("type",W$11)="v",(-('TCO Calculator Inputs'!$E$25)*(1+'TCO Calculator Inputs'!$E$26)^W$11)*'TCO Calculator Inputs'!$E$20,"")</f>
        <v/>
      </c>
      <c r="X15" s="73" t="str">
        <f ca="1">IF(CELL("type",X$11)="v",(-('TCO Calculator Inputs'!$E$25)*(1+'TCO Calculator Inputs'!$E$26)^X$11)*'TCO Calculator Inputs'!$E$20,"")</f>
        <v/>
      </c>
      <c r="Y15" s="73" t="str">
        <f ca="1">IF(CELL("type",Y$11)="v",(-('TCO Calculator Inputs'!$E$25)*(1+'TCO Calculator Inputs'!$E$26)^Y$11)*'TCO Calculator Inputs'!$E$20,"")</f>
        <v/>
      </c>
      <c r="Z15" s="73" t="str">
        <f ca="1">IF(CELL("type",Z$11)="v",(-('TCO Calculator Inputs'!$E$25)*(1+'TCO Calculator Inputs'!$E$26)^Z$11)*'TCO Calculator Inputs'!$E$20,"")</f>
        <v/>
      </c>
      <c r="AA15" s="73" t="str">
        <f ca="1">IF(CELL("type",AA$11)="v",(-('TCO Calculator Inputs'!$E$25)*(1+'TCO Calculator Inputs'!$E$26)^AA$11)*'TCO Calculator Inputs'!$E$20,"")</f>
        <v/>
      </c>
      <c r="AB15" s="73" t="str">
        <f ca="1">IF(CELL("type",AB$11)="v",(-('TCO Calculator Inputs'!$E$25)*(1+'TCO Calculator Inputs'!$E$26)^AB$11)*'TCO Calculator Inputs'!$E$20,"")</f>
        <v/>
      </c>
      <c r="AC15" s="73" t="str">
        <f ca="1">IF(CELL("type",AC$11)="v",(-('TCO Calculator Inputs'!$E$25)*(1+'TCO Calculator Inputs'!$E$26)^AC$11)*'TCO Calculator Inputs'!$E$20,"")</f>
        <v/>
      </c>
      <c r="AD15" s="73" t="str">
        <f ca="1">IF(CELL("type",AD$11)="v",(-('TCO Calculator Inputs'!$E$25)*(1+'TCO Calculator Inputs'!$E$26)^AD$11)*'TCO Calculator Inputs'!$E$20,"")</f>
        <v/>
      </c>
      <c r="AE15" s="73" t="str">
        <f ca="1">IF(CELL("type",AE$11)="v",(-('TCO Calculator Inputs'!$E$25)*(1+'TCO Calculator Inputs'!$E$26)^AE$11)*'TCO Calculator Inputs'!$E$20,"")</f>
        <v/>
      </c>
      <c r="AF15" s="73" t="str">
        <f ca="1">IF(CELL("type",AF$11)="v",(-('TCO Calculator Inputs'!$E$25)*(1+'TCO Calculator Inputs'!$E$26)^AF$11)*'TCO Calculator Inputs'!$E$20,"")</f>
        <v/>
      </c>
      <c r="AG15" s="73" t="str">
        <f ca="1">IF(CELL("type",AG$11)="v",(-('TCO Calculator Inputs'!$E$25)*(1+'TCO Calculator Inputs'!$E$26)^AG$11)*'TCO Calculator Inputs'!$E$20,"")</f>
        <v/>
      </c>
    </row>
    <row r="16" spans="2:33" x14ac:dyDescent="0.25">
      <c r="B16" s="46" t="s">
        <v>101</v>
      </c>
      <c r="C16" s="74"/>
      <c r="D16" s="73">
        <f ca="1">IF(CELL("type",D$11)="v",(-('TCO Calculator Inputs'!$E$27)*(1+'TCO Calculator Inputs'!$E$28)^D$11)*'TCO Calculator Inputs'!$E$20,"")</f>
        <v>-1575</v>
      </c>
      <c r="E16" s="73">
        <f ca="1">IF(CELL("type",E$11)="v",(-('TCO Calculator Inputs'!$E$27)*(1+'TCO Calculator Inputs'!$E$28)^E$11)*'TCO Calculator Inputs'!$E$20,"")</f>
        <v>-1653.75</v>
      </c>
      <c r="F16" s="73">
        <f ca="1">IF(CELL("type",F$11)="v",(-('TCO Calculator Inputs'!$E$27)*(1+'TCO Calculator Inputs'!$E$28)^F$11)*'TCO Calculator Inputs'!$E$20,"")</f>
        <v>-1736.4375000000002</v>
      </c>
      <c r="G16" s="73">
        <f ca="1">IF(CELL("type",G$11)="v",(-('TCO Calculator Inputs'!$E$27)*(1+'TCO Calculator Inputs'!$E$28)^G$11)*'TCO Calculator Inputs'!$E$20,"")</f>
        <v>-1823.2593750000001</v>
      </c>
      <c r="H16" s="73">
        <f ca="1">IF(CELL("type",H$11)="v",(-('TCO Calculator Inputs'!$E$27)*(1+'TCO Calculator Inputs'!$E$28)^H$11)*'TCO Calculator Inputs'!$E$20,"")</f>
        <v>-1914.4223437500002</v>
      </c>
      <c r="I16" s="73">
        <f ca="1">IF(CELL("type",I$11)="v",(-('TCO Calculator Inputs'!$E$27)*(1+'TCO Calculator Inputs'!$E$28)^I$11)*'TCO Calculator Inputs'!$E$20,"")</f>
        <v>-2010.1434609374999</v>
      </c>
      <c r="J16" s="73">
        <f ca="1">IF(CELL("type",J$11)="v",(-('TCO Calculator Inputs'!$E$27)*(1+'TCO Calculator Inputs'!$E$28)^J$11)*'TCO Calculator Inputs'!$E$20,"")</f>
        <v>-2110.6506339843754</v>
      </c>
      <c r="K16" s="73">
        <f ca="1">IF(CELL("type",K$11)="v",(-('TCO Calculator Inputs'!$E$27)*(1+'TCO Calculator Inputs'!$E$28)^K$11)*'TCO Calculator Inputs'!$E$20,"")</f>
        <v>-2216.1831656835939</v>
      </c>
      <c r="L16" s="73">
        <f ca="1">IF(CELL("type",L$11)="v",(-('TCO Calculator Inputs'!$E$27)*(1+'TCO Calculator Inputs'!$E$28)^L$11)*'TCO Calculator Inputs'!$E$20,"")</f>
        <v>-2326.9923239677737</v>
      </c>
      <c r="M16" s="73">
        <f ca="1">IF(CELL("type",M$11)="v",(-('TCO Calculator Inputs'!$E$27)*(1+'TCO Calculator Inputs'!$E$28)^M$11)*'TCO Calculator Inputs'!$E$20,"")</f>
        <v>-2443.3419401661622</v>
      </c>
      <c r="N16" s="73" t="str">
        <f ca="1">IF(CELL("type",N$11)="v",(-('TCO Calculator Inputs'!$E$27)*(1+'TCO Calculator Inputs'!$E$28)^N$11)*'TCO Calculator Inputs'!$E$20,"")</f>
        <v/>
      </c>
      <c r="O16" s="73" t="str">
        <f ca="1">IF(CELL("type",O$11)="v",(-('TCO Calculator Inputs'!$E$27)*(1+'TCO Calculator Inputs'!$E$28)^O$11)*'TCO Calculator Inputs'!$E$20,"")</f>
        <v/>
      </c>
      <c r="P16" s="73" t="str">
        <f ca="1">IF(CELL("type",P$11)="v",(-('TCO Calculator Inputs'!$E$27)*(1+'TCO Calculator Inputs'!$E$28)^P$11)*'TCO Calculator Inputs'!$E$20,"")</f>
        <v/>
      </c>
      <c r="Q16" s="73" t="str">
        <f ca="1">IF(CELL("type",Q$11)="v",(-('TCO Calculator Inputs'!$E$27)*(1+'TCO Calculator Inputs'!$E$28)^Q$11)*'TCO Calculator Inputs'!$E$20,"")</f>
        <v/>
      </c>
      <c r="R16" s="73" t="str">
        <f ca="1">IF(CELL("type",R$11)="v",(-('TCO Calculator Inputs'!$E$27)*(1+'TCO Calculator Inputs'!$E$28)^R$11)*'TCO Calculator Inputs'!$E$20,"")</f>
        <v/>
      </c>
      <c r="S16" s="73" t="str">
        <f ca="1">IF(CELL("type",S$11)="v",(-('TCO Calculator Inputs'!$E$27)*(1+'TCO Calculator Inputs'!$E$28)^S$11)*'TCO Calculator Inputs'!$E$20,"")</f>
        <v/>
      </c>
      <c r="T16" s="73" t="str">
        <f ca="1">IF(CELL("type",T$11)="v",(-('TCO Calculator Inputs'!$E$27)*(1+'TCO Calculator Inputs'!$E$28)^T$11)*'TCO Calculator Inputs'!$E$20,"")</f>
        <v/>
      </c>
      <c r="U16" s="73" t="str">
        <f ca="1">IF(CELL("type",U$11)="v",(-('TCO Calculator Inputs'!$E$27)*(1+'TCO Calculator Inputs'!$E$28)^U$11)*'TCO Calculator Inputs'!$E$20,"")</f>
        <v/>
      </c>
      <c r="V16" s="73" t="str">
        <f ca="1">IF(CELL("type",V$11)="v",(-('TCO Calculator Inputs'!$E$27)*(1+'TCO Calculator Inputs'!$E$28)^V$11)*'TCO Calculator Inputs'!$E$20,"")</f>
        <v/>
      </c>
      <c r="W16" s="73" t="str">
        <f ca="1">IF(CELL("type",W$11)="v",(-('TCO Calculator Inputs'!$E$27)*(1+'TCO Calculator Inputs'!$E$28)^W$11)*'TCO Calculator Inputs'!$E$20,"")</f>
        <v/>
      </c>
      <c r="X16" s="73" t="str">
        <f ca="1">IF(CELL("type",X$11)="v",(-('TCO Calculator Inputs'!$E$27)*(1+'TCO Calculator Inputs'!$E$28)^X$11)*'TCO Calculator Inputs'!$E$20,"")</f>
        <v/>
      </c>
      <c r="Y16" s="73" t="str">
        <f ca="1">IF(CELL("type",Y$11)="v",(-('TCO Calculator Inputs'!$E$27)*(1+'TCO Calculator Inputs'!$E$28)^Y$11)*'TCO Calculator Inputs'!$E$20,"")</f>
        <v/>
      </c>
      <c r="Z16" s="73" t="str">
        <f ca="1">IF(CELL("type",Z$11)="v",(-('TCO Calculator Inputs'!$E$27)*(1+'TCO Calculator Inputs'!$E$28)^Z$11)*'TCO Calculator Inputs'!$E$20,"")</f>
        <v/>
      </c>
      <c r="AA16" s="73" t="str">
        <f ca="1">IF(CELL("type",AA$11)="v",(-('TCO Calculator Inputs'!$E$27)*(1+'TCO Calculator Inputs'!$E$28)^AA$11)*'TCO Calculator Inputs'!$E$20,"")</f>
        <v/>
      </c>
      <c r="AB16" s="73" t="str">
        <f ca="1">IF(CELL("type",AB$11)="v",(-('TCO Calculator Inputs'!$E$27)*(1+'TCO Calculator Inputs'!$E$28)^AB$11)*'TCO Calculator Inputs'!$E$20,"")</f>
        <v/>
      </c>
      <c r="AC16" s="73" t="str">
        <f ca="1">IF(CELL("type",AC$11)="v",(-('TCO Calculator Inputs'!$E$27)*(1+'TCO Calculator Inputs'!$E$28)^AC$11)*'TCO Calculator Inputs'!$E$20,"")</f>
        <v/>
      </c>
      <c r="AD16" s="73" t="str">
        <f ca="1">IF(CELL("type",AD$11)="v",(-('TCO Calculator Inputs'!$E$27)*(1+'TCO Calculator Inputs'!$E$28)^AD$11)*'TCO Calculator Inputs'!$E$20,"")</f>
        <v/>
      </c>
      <c r="AE16" s="73" t="str">
        <f ca="1">IF(CELL("type",AE$11)="v",(-('TCO Calculator Inputs'!$E$27)*(1+'TCO Calculator Inputs'!$E$28)^AE$11)*'TCO Calculator Inputs'!$E$20,"")</f>
        <v/>
      </c>
      <c r="AF16" s="73" t="str">
        <f ca="1">IF(CELL("type",AF$11)="v",(-('TCO Calculator Inputs'!$E$27)*(1+'TCO Calculator Inputs'!$E$28)^AF$11)*'TCO Calculator Inputs'!$E$20,"")</f>
        <v/>
      </c>
      <c r="AG16" s="73" t="str">
        <f ca="1">IF(CELL("type",AG$11)="v",(-('TCO Calculator Inputs'!$E$27)*(1+'TCO Calculator Inputs'!$E$28)^AG$11)*'TCO Calculator Inputs'!$E$20,"")</f>
        <v/>
      </c>
    </row>
    <row r="17" spans="2:33" x14ac:dyDescent="0.25">
      <c r="B17" s="46" t="s">
        <v>103</v>
      </c>
      <c r="C17" s="74"/>
      <c r="D17" s="73"/>
      <c r="E17" s="73"/>
      <c r="F17" s="73"/>
      <c r="G17" s="73"/>
      <c r="H17" s="73"/>
      <c r="I17" s="73"/>
      <c r="J17" s="73"/>
      <c r="K17" s="73"/>
      <c r="L17" s="73"/>
      <c r="M17" s="73"/>
      <c r="N17" s="73"/>
      <c r="O17" s="73"/>
      <c r="P17" s="46"/>
      <c r="Q17" s="46"/>
      <c r="R17" s="46"/>
      <c r="S17" s="46"/>
      <c r="T17" s="46"/>
      <c r="U17" s="46"/>
      <c r="V17" s="46"/>
      <c r="W17" s="46"/>
      <c r="X17" s="46"/>
      <c r="Y17" s="46"/>
      <c r="Z17" s="46"/>
      <c r="AA17" s="46"/>
      <c r="AB17" s="46"/>
      <c r="AC17" s="46"/>
      <c r="AD17" s="46"/>
      <c r="AE17" s="46"/>
      <c r="AF17" s="46"/>
      <c r="AG17" s="46"/>
    </row>
    <row r="18" spans="2:33" x14ac:dyDescent="0.25">
      <c r="B18" s="46" t="s">
        <v>104</v>
      </c>
      <c r="C18" s="74"/>
      <c r="D18" s="73"/>
      <c r="E18" s="73"/>
      <c r="F18" s="73"/>
      <c r="G18" s="73"/>
      <c r="H18" s="73"/>
      <c r="I18" s="73"/>
      <c r="J18" s="73"/>
      <c r="K18" s="73"/>
      <c r="L18" s="73"/>
      <c r="M18" s="73"/>
      <c r="N18" s="73"/>
      <c r="O18" s="73"/>
      <c r="P18" s="46"/>
      <c r="Q18" s="46"/>
      <c r="R18" s="46"/>
      <c r="S18" s="46"/>
      <c r="T18" s="46"/>
      <c r="U18" s="46"/>
      <c r="V18" s="46"/>
      <c r="W18" s="46"/>
      <c r="X18" s="46"/>
      <c r="Y18" s="46"/>
      <c r="Z18" s="46"/>
      <c r="AA18" s="46"/>
      <c r="AB18" s="46"/>
      <c r="AC18" s="46"/>
      <c r="AD18" s="46"/>
      <c r="AE18" s="46"/>
      <c r="AF18" s="46"/>
      <c r="AG18" s="46"/>
    </row>
    <row r="19" spans="2:33" x14ac:dyDescent="0.25">
      <c r="B19" s="46" t="s">
        <v>102</v>
      </c>
      <c r="C19" s="71" t="str">
        <f ca="1">IF(CELL("type",C$11)="v",(IF('TCO Calculator Inputs'!$E$19-'TCO Calculator Outputs'!C$11&gt;0,"",'TCO Calculator Inputs'!$E$24*'TCO Calculator Inputs'!$E$21)),"")</f>
        <v/>
      </c>
      <c r="D19" s="71" t="str">
        <f ca="1">IF(CELL("type",D$11)="v",(IF('TCO Calculator Inputs'!$E$19-'TCO Calculator Outputs'!D$11&gt;0,"",'TCO Calculator Inputs'!$E$24*'TCO Calculator Inputs'!$E$22*'TCO Calculator Inputs'!$E$20)),"")</f>
        <v/>
      </c>
      <c r="E19" s="71" t="str">
        <f ca="1">IF(CELL("type",E$11)="v",(IF('TCO Calculator Inputs'!$E$19-'TCO Calculator Outputs'!E$11&gt;0,"",'TCO Calculator Inputs'!$E$24*'TCO Calculator Inputs'!$E$22*'TCO Calculator Inputs'!$E$20)),"")</f>
        <v/>
      </c>
      <c r="F19" s="71" t="str">
        <f ca="1">IF(CELL("type",F$11)="v",(IF('TCO Calculator Inputs'!$E$19-'TCO Calculator Outputs'!F$11&gt;0,"",'TCO Calculator Inputs'!$E$24*'TCO Calculator Inputs'!$E$22*'TCO Calculator Inputs'!$E$20)),"")</f>
        <v/>
      </c>
      <c r="G19" s="71" t="str">
        <f ca="1">IF(CELL("type",G$11)="v",(IF('TCO Calculator Inputs'!$E$19-'TCO Calculator Outputs'!G$11&gt;0,"",'TCO Calculator Inputs'!$E$24*'TCO Calculator Inputs'!$E$22*'TCO Calculator Inputs'!$E$20)),"")</f>
        <v/>
      </c>
      <c r="H19" s="71" t="str">
        <f ca="1">IF(CELL("type",H$11)="v",(IF('TCO Calculator Inputs'!$E$19-'TCO Calculator Outputs'!H$11&gt;0,"",'TCO Calculator Inputs'!$E$24*'TCO Calculator Inputs'!$E$22*'TCO Calculator Inputs'!$E$20)),"")</f>
        <v/>
      </c>
      <c r="I19" s="71" t="str">
        <f ca="1">IF(CELL("type",I$11)="v",(IF('TCO Calculator Inputs'!$E$19-'TCO Calculator Outputs'!I$11&gt;0,"",'TCO Calculator Inputs'!$E$24*'TCO Calculator Inputs'!$E$22*'TCO Calculator Inputs'!$E$20)),"")</f>
        <v/>
      </c>
      <c r="J19" s="71" t="str">
        <f ca="1">IF(CELL("type",J$11)="v",(IF('TCO Calculator Inputs'!$E$19-'TCO Calculator Outputs'!J$11&gt;0,"",'TCO Calculator Inputs'!$E$24*'TCO Calculator Inputs'!$E$22*'TCO Calculator Inputs'!$E$20)),"")</f>
        <v/>
      </c>
      <c r="K19" s="71" t="str">
        <f ca="1">IF(CELL("type",K$11)="v",(IF('TCO Calculator Inputs'!$E$19-'TCO Calculator Outputs'!K$11&gt;0,"",'TCO Calculator Inputs'!$E$24*'TCO Calculator Inputs'!$E$22*'TCO Calculator Inputs'!$E$20)),"")</f>
        <v/>
      </c>
      <c r="L19" s="71" t="str">
        <f ca="1">IF(CELL("type",L$11)="v",(IF('TCO Calculator Inputs'!$E$19-'TCO Calculator Outputs'!L$11&gt;0,"",'TCO Calculator Inputs'!$E$24*'TCO Calculator Inputs'!$E$22*'TCO Calculator Inputs'!$E$20)),"")</f>
        <v/>
      </c>
      <c r="M19" s="71">
        <f ca="1">IF(CELL("type",M$11)="v",(IF('TCO Calculator Inputs'!$E$19-'TCO Calculator Outputs'!M$11&gt;0,"",'TCO Calculator Inputs'!$E$24*'TCO Calculator Inputs'!$E$22*'TCO Calculator Inputs'!$E$20)),"")</f>
        <v>480</v>
      </c>
      <c r="N19" s="71" t="str">
        <f ca="1">IF(CELL("type",N$11)="v",(IF('TCO Calculator Inputs'!$E$19-'TCO Calculator Outputs'!N$11&gt;0,"",'TCO Calculator Inputs'!$E$24*'TCO Calculator Inputs'!$E$22*'TCO Calculator Inputs'!$E$20)),"")</f>
        <v/>
      </c>
      <c r="O19" s="71" t="str">
        <f ca="1">IF(CELL("type",O$11)="v",(IF('TCO Calculator Inputs'!$E$19-'TCO Calculator Outputs'!O$11&gt;0,"",'TCO Calculator Inputs'!$E$24*'TCO Calculator Inputs'!$E$22*'TCO Calculator Inputs'!$E$20)),"")</f>
        <v/>
      </c>
      <c r="P19" s="71" t="str">
        <f ca="1">IF(CELL("type",P$11)="v",(IF('TCO Calculator Inputs'!$E$19-'TCO Calculator Outputs'!P$11&gt;0,"",'TCO Calculator Inputs'!$E$24*'TCO Calculator Inputs'!$E$22*'TCO Calculator Inputs'!$E$20)),"")</f>
        <v/>
      </c>
      <c r="Q19" s="71" t="str">
        <f ca="1">IF(CELL("type",Q$11)="v",(IF('TCO Calculator Inputs'!$E$19-'TCO Calculator Outputs'!Q$11&gt;0,"",'TCO Calculator Inputs'!$E$24*'TCO Calculator Inputs'!$E$22*'TCO Calculator Inputs'!$E$20)),"")</f>
        <v/>
      </c>
      <c r="R19" s="71" t="str">
        <f ca="1">IF(CELL("type",R$11)="v",(IF('TCO Calculator Inputs'!$E$19-'TCO Calculator Outputs'!R$11&gt;0,"",'TCO Calculator Inputs'!$E$24*'TCO Calculator Inputs'!$E$22*'TCO Calculator Inputs'!$E$20)),"")</f>
        <v/>
      </c>
      <c r="S19" s="71" t="str">
        <f ca="1">IF(CELL("type",S$11)="v",(IF('TCO Calculator Inputs'!$E$19-'TCO Calculator Outputs'!S$11&gt;0,"",'TCO Calculator Inputs'!$E$24*'TCO Calculator Inputs'!$E$22*'TCO Calculator Inputs'!$E$20)),"")</f>
        <v/>
      </c>
      <c r="T19" s="71" t="str">
        <f ca="1">IF(CELL("type",T$11)="v",(IF('TCO Calculator Inputs'!$E$19-'TCO Calculator Outputs'!T$11&gt;0,"",'TCO Calculator Inputs'!$E$24*'TCO Calculator Inputs'!$E$22*'TCO Calculator Inputs'!$E$20)),"")</f>
        <v/>
      </c>
      <c r="U19" s="71" t="str">
        <f ca="1">IF(CELL("type",U$11)="v",(IF('TCO Calculator Inputs'!$E$19-'TCO Calculator Outputs'!U$11&gt;0,"",'TCO Calculator Inputs'!$E$24*'TCO Calculator Inputs'!$E$22*'TCO Calculator Inputs'!$E$20)),"")</f>
        <v/>
      </c>
      <c r="V19" s="71" t="str">
        <f ca="1">IF(CELL("type",V$11)="v",(IF('TCO Calculator Inputs'!$E$19-'TCO Calculator Outputs'!V$11&gt;0,"",'TCO Calculator Inputs'!$E$24*'TCO Calculator Inputs'!$E$22*'TCO Calculator Inputs'!$E$20)),"")</f>
        <v/>
      </c>
      <c r="W19" s="71" t="str">
        <f ca="1">IF(CELL("type",W$11)="v",(IF('TCO Calculator Inputs'!$E$19-'TCO Calculator Outputs'!W$11&gt;0,"",'TCO Calculator Inputs'!$E$24*'TCO Calculator Inputs'!$E$22*'TCO Calculator Inputs'!$E$20)),"")</f>
        <v/>
      </c>
      <c r="X19" s="71" t="str">
        <f ca="1">IF(CELL("type",X$11)="v",(IF('TCO Calculator Inputs'!$E$19-'TCO Calculator Outputs'!X$11&gt;0,"",'TCO Calculator Inputs'!$E$24*'TCO Calculator Inputs'!$E$22*'TCO Calculator Inputs'!$E$20)),"")</f>
        <v/>
      </c>
      <c r="Y19" s="71" t="str">
        <f ca="1">IF(CELL("type",Y$11)="v",(IF('TCO Calculator Inputs'!$E$19-'TCO Calculator Outputs'!Y$11&gt;0,"",'TCO Calculator Inputs'!$E$24*'TCO Calculator Inputs'!$E$22*'TCO Calculator Inputs'!$E$20)),"")</f>
        <v/>
      </c>
      <c r="Z19" s="71" t="str">
        <f ca="1">IF(CELL("type",Z$11)="v",(IF('TCO Calculator Inputs'!$E$19-'TCO Calculator Outputs'!Z$11&gt;0,"",'TCO Calculator Inputs'!$E$24*'TCO Calculator Inputs'!$E$22*'TCO Calculator Inputs'!$E$20)),"")</f>
        <v/>
      </c>
      <c r="AA19" s="71" t="str">
        <f ca="1">IF(CELL("type",AA$11)="v",(IF('TCO Calculator Inputs'!$E$19-'TCO Calculator Outputs'!AA$11&gt;0,"",'TCO Calculator Inputs'!$E$24*'TCO Calculator Inputs'!$E$22*'TCO Calculator Inputs'!$E$20)),"")</f>
        <v/>
      </c>
      <c r="AB19" s="71" t="str">
        <f ca="1">IF(CELL("type",AB$11)="v",(IF('TCO Calculator Inputs'!$E$19-'TCO Calculator Outputs'!AB$11&gt;0,"",'TCO Calculator Inputs'!$E$24*'TCO Calculator Inputs'!$E$22*'TCO Calculator Inputs'!$E$20)),"")</f>
        <v/>
      </c>
      <c r="AC19" s="71" t="str">
        <f ca="1">IF(CELL("type",AC$11)="v",(IF('TCO Calculator Inputs'!$E$19-'TCO Calculator Outputs'!AC$11&gt;0,"",'TCO Calculator Inputs'!$E$24*'TCO Calculator Inputs'!$E$22*'TCO Calculator Inputs'!$E$20)),"")</f>
        <v/>
      </c>
      <c r="AD19" s="71" t="str">
        <f ca="1">IF(CELL("type",AD$11)="v",(IF('TCO Calculator Inputs'!$E$19-'TCO Calculator Outputs'!AD$11&gt;0,"",'TCO Calculator Inputs'!$E$24*'TCO Calculator Inputs'!$E$22*'TCO Calculator Inputs'!$E$20)),"")</f>
        <v/>
      </c>
      <c r="AE19" s="71" t="str">
        <f ca="1">IF(CELL("type",AE$11)="v",(IF('TCO Calculator Inputs'!$E$19-'TCO Calculator Outputs'!AE$11&gt;0,"",'TCO Calculator Inputs'!$E$24*'TCO Calculator Inputs'!$E$22*'TCO Calculator Inputs'!$E$20)),"")</f>
        <v/>
      </c>
      <c r="AF19" s="71" t="str">
        <f ca="1">IF(CELL("type",AF$11)="v",(IF('TCO Calculator Inputs'!$E$19-'TCO Calculator Outputs'!AF$11&gt;0,"",'TCO Calculator Inputs'!$E$24*'TCO Calculator Inputs'!$E$22*'TCO Calculator Inputs'!$E$20)),"")</f>
        <v/>
      </c>
      <c r="AG19" s="71" t="str">
        <f ca="1">IF(CELL("type",AG$11)="v",(IF('TCO Calculator Inputs'!$E$19-'TCO Calculator Outputs'!AG$11&gt;0,"",'TCO Calculator Inputs'!$E$24*'TCO Calculator Inputs'!$E$22*'TCO Calculator Inputs'!$E$20)),"")</f>
        <v/>
      </c>
    </row>
    <row r="20" spans="2:33" x14ac:dyDescent="0.25">
      <c r="B20" s="113" t="s">
        <v>166</v>
      </c>
      <c r="C20" s="73" t="str">
        <f ca="1">IF('TCO Calculator Inputs'!$E$68=1,"",IF(CELL("type",C$27)="v",-('TCO Calculator Inputs'!$E$70*('TCO Calculator Inputs'!$E$22-'TCO Calculator Inputs'!E23))*'TCO Calculator Inputs'!$E$20,""))</f>
        <v/>
      </c>
      <c r="D20" s="73"/>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row>
    <row r="21" spans="2:33" x14ac:dyDescent="0.25">
      <c r="B21" s="113" t="s">
        <v>185</v>
      </c>
      <c r="C21" s="74"/>
      <c r="D21" s="73" t="str">
        <f ca="1">IF('TCO Calculator Inputs'!$E$68=2,IF(CELL("type",D$11)="v",IF('TCO Calculator Inputs'!$E$70=1,"",(-((1-'TCO Calculator Inputs'!$E$70-'TCO Calculator Inputs'!$E$24)*('TCO Calculator Inputs'!$E$22-'TCO Calculator Inputs'!$E$23)/'TCO Calculator Inputs'!$E$19)*'TCO Calculator Inputs'!$E$20)),""),"")</f>
        <v/>
      </c>
      <c r="E21" s="73" t="str">
        <f ca="1">IF('TCO Calculator Inputs'!$E$68=2,IF(CELL("type",E$11)="v",IF('TCO Calculator Inputs'!$E$70=1,"",(-((1-'TCO Calculator Inputs'!$E$70-'TCO Calculator Inputs'!$E$24)*('TCO Calculator Inputs'!$E$22-'TCO Calculator Inputs'!$E$23)/'TCO Calculator Inputs'!$E$19)*'TCO Calculator Inputs'!$E$20)),""),"")</f>
        <v/>
      </c>
      <c r="F21" s="73" t="str">
        <f ca="1">IF('TCO Calculator Inputs'!$E$68=2,IF(CELL("type",F$11)="v",IF('TCO Calculator Inputs'!$E$70=1,"",(-((1-'TCO Calculator Inputs'!$E$70-'TCO Calculator Inputs'!$E$24)*('TCO Calculator Inputs'!$E$22-'TCO Calculator Inputs'!$E$23)/'TCO Calculator Inputs'!$E$19)*'TCO Calculator Inputs'!$E$20)),""),"")</f>
        <v/>
      </c>
      <c r="G21" s="73" t="str">
        <f ca="1">IF('TCO Calculator Inputs'!$E$68=2,IF(CELL("type",G$11)="v",IF('TCO Calculator Inputs'!$E$70=1,"",(-((1-'TCO Calculator Inputs'!$E$70-'TCO Calculator Inputs'!$E$24)*('TCO Calculator Inputs'!$E$22-'TCO Calculator Inputs'!$E$23)/'TCO Calculator Inputs'!$E$19)*'TCO Calculator Inputs'!$E$20)),""),"")</f>
        <v/>
      </c>
      <c r="H21" s="73" t="str">
        <f ca="1">IF('TCO Calculator Inputs'!$E$68=2,IF(CELL("type",H$11)="v",IF('TCO Calculator Inputs'!$E$70=1,"",(-((1-'TCO Calculator Inputs'!$E$70-'TCO Calculator Inputs'!$E$24)*('TCO Calculator Inputs'!$E$22-'TCO Calculator Inputs'!$E$23)/'TCO Calculator Inputs'!$E$19)*'TCO Calculator Inputs'!$E$20)),""),"")</f>
        <v/>
      </c>
      <c r="I21" s="73" t="str">
        <f ca="1">IF('TCO Calculator Inputs'!$E$68=2,IF(CELL("type",I$11)="v",IF('TCO Calculator Inputs'!$E$70=1,"",(-((1-'TCO Calculator Inputs'!$E$70-'TCO Calculator Inputs'!$E$24)*('TCO Calculator Inputs'!$E$22-'TCO Calculator Inputs'!$E$23)/'TCO Calculator Inputs'!$E$19)*'TCO Calculator Inputs'!$E$20)),""),"")</f>
        <v/>
      </c>
      <c r="J21" s="73" t="str">
        <f ca="1">IF('TCO Calculator Inputs'!$E$68=2,IF(CELL("type",J$11)="v",IF('TCO Calculator Inputs'!$E$70=1,"",(-((1-'TCO Calculator Inputs'!$E$70-'TCO Calculator Inputs'!$E$24)*('TCO Calculator Inputs'!$E$22-'TCO Calculator Inputs'!$E$23)/'TCO Calculator Inputs'!$E$19)*'TCO Calculator Inputs'!$E$20)),""),"")</f>
        <v/>
      </c>
      <c r="K21" s="73" t="str">
        <f ca="1">IF('TCO Calculator Inputs'!$E$68=2,IF(CELL("type",K$11)="v",IF('TCO Calculator Inputs'!$E$70=1,"",(-((1-'TCO Calculator Inputs'!$E$70-'TCO Calculator Inputs'!$E$24)*('TCO Calculator Inputs'!$E$22-'TCO Calculator Inputs'!$E$23)/'TCO Calculator Inputs'!$E$19)*'TCO Calculator Inputs'!$E$20)),""),"")</f>
        <v/>
      </c>
      <c r="L21" s="73" t="str">
        <f ca="1">IF('TCO Calculator Inputs'!$E$68=2,IF(CELL("type",L$11)="v",IF('TCO Calculator Inputs'!$E$70=1,"",(-((1-'TCO Calculator Inputs'!$E$70-'TCO Calculator Inputs'!$E$24)*('TCO Calculator Inputs'!$E$22-'TCO Calculator Inputs'!$E$23)/'TCO Calculator Inputs'!$E$19)*'TCO Calculator Inputs'!$E$20)),""),"")</f>
        <v/>
      </c>
      <c r="M21" s="73" t="str">
        <f ca="1">IF('TCO Calculator Inputs'!$E$68=2,IF(CELL("type",M$11)="v",IF('TCO Calculator Inputs'!$E$70=1,"",(-((1-'TCO Calculator Inputs'!$E$70-'TCO Calculator Inputs'!$E$24)*('TCO Calculator Inputs'!$E$22-'TCO Calculator Inputs'!$E$23)/'TCO Calculator Inputs'!$E$19)*'TCO Calculator Inputs'!$E$20)),""),"")</f>
        <v/>
      </c>
      <c r="N21" s="73" t="str">
        <f ca="1">IF('TCO Calculator Inputs'!$E$68=2,IF(CELL("type",N$11)="v",IF('TCO Calculator Inputs'!$E$70=1,"",(-((1-'TCO Calculator Inputs'!$E$70-'TCO Calculator Inputs'!$E$24)*('TCO Calculator Inputs'!$E$22-'TCO Calculator Inputs'!$E$23)/'TCO Calculator Inputs'!$E$19)*'TCO Calculator Inputs'!$E$20)),""),"")</f>
        <v/>
      </c>
      <c r="O21" s="73" t="str">
        <f ca="1">IF('TCO Calculator Inputs'!$E$68=2,IF(CELL("type",O$11)="v",IF('TCO Calculator Inputs'!$E$70=1,"",(-((1-'TCO Calculator Inputs'!$E$70-'TCO Calculator Inputs'!$E$24)*('TCO Calculator Inputs'!$E$22-'TCO Calculator Inputs'!$E$23)/'TCO Calculator Inputs'!$E$19)*'TCO Calculator Inputs'!$E$20)),""),"")</f>
        <v/>
      </c>
      <c r="P21" s="73" t="str">
        <f ca="1">IF('TCO Calculator Inputs'!$E$68=2,IF(CELL("type",P$11)="v",IF('TCO Calculator Inputs'!$E$70=1,"",(-((1-'TCO Calculator Inputs'!$E$70-'TCO Calculator Inputs'!$E$24)*('TCO Calculator Inputs'!$E$22-'TCO Calculator Inputs'!$E$23)/'TCO Calculator Inputs'!$E$19)*'TCO Calculator Inputs'!$E$20)),""),"")</f>
        <v/>
      </c>
      <c r="Q21" s="73" t="str">
        <f ca="1">IF('TCO Calculator Inputs'!$E$68=2,IF(CELL("type",Q$11)="v",IF('TCO Calculator Inputs'!$E$70=1,"",(-((1-'TCO Calculator Inputs'!$E$70-'TCO Calculator Inputs'!$E$24)*('TCO Calculator Inputs'!$E$22-'TCO Calculator Inputs'!$E$23)/'TCO Calculator Inputs'!$E$19)*'TCO Calculator Inputs'!$E$20)),""),"")</f>
        <v/>
      </c>
      <c r="R21" s="73" t="str">
        <f ca="1">IF('TCO Calculator Inputs'!$E$68=2,IF(CELL("type",R$11)="v",IF('TCO Calculator Inputs'!$E$70=1,"",(-((1-'TCO Calculator Inputs'!$E$70-'TCO Calculator Inputs'!$E$24)*('TCO Calculator Inputs'!$E$22-'TCO Calculator Inputs'!$E$23)/'TCO Calculator Inputs'!$E$19)*'TCO Calculator Inputs'!$E$20)),""),"")</f>
        <v/>
      </c>
      <c r="S21" s="73" t="str">
        <f ca="1">IF('TCO Calculator Inputs'!$E$68=2,IF(CELL("type",S$11)="v",IF('TCO Calculator Inputs'!$E$70=1,"",(-((1-'TCO Calculator Inputs'!$E$70-'TCO Calculator Inputs'!$E$24)*('TCO Calculator Inputs'!$E$22-'TCO Calculator Inputs'!$E$23)/'TCO Calculator Inputs'!$E$19)*'TCO Calculator Inputs'!$E$20)),""),"")</f>
        <v/>
      </c>
      <c r="T21" s="73" t="str">
        <f ca="1">IF('TCO Calculator Inputs'!$E$68=2,IF(CELL("type",T$11)="v",IF('TCO Calculator Inputs'!$E$70=1,"",(-((1-'TCO Calculator Inputs'!$E$70-'TCO Calculator Inputs'!$E$24)*('TCO Calculator Inputs'!$E$22-'TCO Calculator Inputs'!$E$23)/'TCO Calculator Inputs'!$E$19)*'TCO Calculator Inputs'!$E$20)),""),"")</f>
        <v/>
      </c>
      <c r="U21" s="73" t="str">
        <f ca="1">IF('TCO Calculator Inputs'!$E$68=2,IF(CELL("type",U$11)="v",IF('TCO Calculator Inputs'!$E$70=1,"",(-((1-'TCO Calculator Inputs'!$E$70-'TCO Calculator Inputs'!$E$24)*('TCO Calculator Inputs'!$E$22-'TCO Calculator Inputs'!$E$23)/'TCO Calculator Inputs'!$E$19)*'TCO Calculator Inputs'!$E$20)),""),"")</f>
        <v/>
      </c>
      <c r="V21" s="73" t="str">
        <f ca="1">IF('TCO Calculator Inputs'!$E$68=2,IF(CELL("type",V$11)="v",IF('TCO Calculator Inputs'!$E$70=1,"",(-((1-'TCO Calculator Inputs'!$E$70-'TCO Calculator Inputs'!$E$24)*('TCO Calculator Inputs'!$E$22-'TCO Calculator Inputs'!$E$23)/'TCO Calculator Inputs'!$E$19)*'TCO Calculator Inputs'!$E$20)),""),"")</f>
        <v/>
      </c>
      <c r="W21" s="73" t="str">
        <f ca="1">IF('TCO Calculator Inputs'!$E$68=2,IF(CELL("type",W$11)="v",IF('TCO Calculator Inputs'!$E$70=1,"",(-((1-'TCO Calculator Inputs'!$E$70-'TCO Calculator Inputs'!$E$24)*('TCO Calculator Inputs'!$E$22-'TCO Calculator Inputs'!$E$23)/'TCO Calculator Inputs'!$E$19)*'TCO Calculator Inputs'!$E$20)),""),"")</f>
        <v/>
      </c>
      <c r="X21" s="73" t="str">
        <f ca="1">IF('TCO Calculator Inputs'!$E$68=2,IF(CELL("type",X$11)="v",IF('TCO Calculator Inputs'!$E$70=1,"",(-((1-'TCO Calculator Inputs'!$E$70-'TCO Calculator Inputs'!$E$24)*('TCO Calculator Inputs'!$E$22-'TCO Calculator Inputs'!$E$23)/'TCO Calculator Inputs'!$E$19)*'TCO Calculator Inputs'!$E$20)),""),"")</f>
        <v/>
      </c>
      <c r="Y21" s="73" t="str">
        <f ca="1">IF('TCO Calculator Inputs'!$E$68=2,IF(CELL("type",Y$11)="v",IF('TCO Calculator Inputs'!$E$70=1,"",(-((1-'TCO Calculator Inputs'!$E$70-'TCO Calculator Inputs'!$E$24)*('TCO Calculator Inputs'!$E$22-'TCO Calculator Inputs'!$E$23)/'TCO Calculator Inputs'!$E$19)*'TCO Calculator Inputs'!$E$20)),""),"")</f>
        <v/>
      </c>
      <c r="Z21" s="73" t="str">
        <f ca="1">IF('TCO Calculator Inputs'!$E$68=2,IF(CELL("type",Z$11)="v",IF('TCO Calculator Inputs'!$E$70=1,"",(-((1-'TCO Calculator Inputs'!$E$70-'TCO Calculator Inputs'!$E$24)*('TCO Calculator Inputs'!$E$22-'TCO Calculator Inputs'!$E$23)/'TCO Calculator Inputs'!$E$19)*'TCO Calculator Inputs'!$E$20)),""),"")</f>
        <v/>
      </c>
      <c r="AA21" s="73" t="str">
        <f ca="1">IF('TCO Calculator Inputs'!$E$68=2,IF(CELL("type",AA$11)="v",IF('TCO Calculator Inputs'!$E$70=1,"",(-((1-'TCO Calculator Inputs'!$E$70-'TCO Calculator Inputs'!$E$24)*('TCO Calculator Inputs'!$E$22-'TCO Calculator Inputs'!$E$23)/'TCO Calculator Inputs'!$E$19)*'TCO Calculator Inputs'!$E$20)),""),"")</f>
        <v/>
      </c>
      <c r="AB21" s="73" t="str">
        <f ca="1">IF('TCO Calculator Inputs'!$E$68=2,IF(CELL("type",AB$11)="v",IF('TCO Calculator Inputs'!$E$70=1,"",(-((1-'TCO Calculator Inputs'!$E$70-'TCO Calculator Inputs'!$E$24)*('TCO Calculator Inputs'!$E$22-'TCO Calculator Inputs'!$E$23)/'TCO Calculator Inputs'!$E$19)*'TCO Calculator Inputs'!$E$20)),""),"")</f>
        <v/>
      </c>
      <c r="AC21" s="73" t="str">
        <f ca="1">IF('TCO Calculator Inputs'!$E$68=2,IF(CELL("type",AC$11)="v",IF('TCO Calculator Inputs'!$E$70=1,"",(-((1-'TCO Calculator Inputs'!$E$70-'TCO Calculator Inputs'!$E$24)*('TCO Calculator Inputs'!$E$22-'TCO Calculator Inputs'!$E$23)/'TCO Calculator Inputs'!$E$19)*'TCO Calculator Inputs'!$E$20)),""),"")</f>
        <v/>
      </c>
      <c r="AD21" s="73" t="str">
        <f ca="1">IF('TCO Calculator Inputs'!$E$68=2,IF(CELL("type",AD$11)="v",IF('TCO Calculator Inputs'!$E$70=1,"",(-((1-'TCO Calculator Inputs'!$E$70-'TCO Calculator Inputs'!$E$24)*('TCO Calculator Inputs'!$E$22-'TCO Calculator Inputs'!$E$23)/'TCO Calculator Inputs'!$E$19)*'TCO Calculator Inputs'!$E$20)),""),"")</f>
        <v/>
      </c>
      <c r="AE21" s="73" t="str">
        <f ca="1">IF('TCO Calculator Inputs'!$E$68=2,IF(CELL("type",AE$11)="v",IF('TCO Calculator Inputs'!$E$70=1,"",(-((1-'TCO Calculator Inputs'!$E$70-'TCO Calculator Inputs'!$E$24)*('TCO Calculator Inputs'!$E$22-'TCO Calculator Inputs'!$E$23)/'TCO Calculator Inputs'!$E$19)*'TCO Calculator Inputs'!$E$20)),""),"")</f>
        <v/>
      </c>
      <c r="AF21" s="73" t="str">
        <f ca="1">IF('TCO Calculator Inputs'!$E$68=2,IF(CELL("type",AF$11)="v",IF('TCO Calculator Inputs'!$E$70=1,"",(-((1-'TCO Calculator Inputs'!$E$70-'TCO Calculator Inputs'!$E$24)*('TCO Calculator Inputs'!$E$22-'TCO Calculator Inputs'!$E$23)/'TCO Calculator Inputs'!$E$19)*'TCO Calculator Inputs'!$E$20)),""),"")</f>
        <v/>
      </c>
      <c r="AG21" s="73" t="str">
        <f ca="1">IF('TCO Calculator Inputs'!$E$68=2,IF(CELL("type",AG$11)="v",IF('TCO Calculator Inputs'!$E$70=1,"",(-((1-'TCO Calculator Inputs'!$E$70-'TCO Calculator Inputs'!$E$24)*('TCO Calculator Inputs'!$E$22-'TCO Calculator Inputs'!$E$23)/'TCO Calculator Inputs'!$E$19)*'TCO Calculator Inputs'!$E$20)),""),"")</f>
        <v/>
      </c>
    </row>
    <row r="22" spans="2:33" x14ac:dyDescent="0.25">
      <c r="B22" s="108" t="s">
        <v>184</v>
      </c>
      <c r="C22" s="109"/>
      <c r="D22" s="73" t="str">
        <f ca="1">IF('TCO Calculator Inputs'!$E$68=2,IF(CELL("type",D$27)="v",(D$21+'TCO Calculator Inputs'!$E$24*('TCO Calculator Inputs'!$E$22-'TCO Calculator Inputs'!$E$23))*'TCO Calculator Inputs'!$E$69,""),"")</f>
        <v/>
      </c>
      <c r="E22" s="73" t="str">
        <f ca="1">IF('TCO Calculator Inputs'!$E$68=2,IF(CELL("type",E$27)="v",(E$21+'TCO Calculator Inputs'!$E$24*('TCO Calculator Inputs'!$E$22-'TCO Calculator Inputs'!$E$23))*'TCO Calculator Inputs'!$E$69,""),"")</f>
        <v/>
      </c>
      <c r="F22" s="73" t="str">
        <f ca="1">IF('TCO Calculator Inputs'!$E$68=2,IF(CELL("type",F$27)="v",(F$21+'TCO Calculator Inputs'!$E$24*('TCO Calculator Inputs'!$E$22-'TCO Calculator Inputs'!$E$23))*'TCO Calculator Inputs'!$E$69,""),"")</f>
        <v/>
      </c>
      <c r="G22" s="73" t="str">
        <f ca="1">IF('TCO Calculator Inputs'!$E$68=2,IF(CELL("type",G$27)="v",(G$21+'TCO Calculator Inputs'!$E$24*('TCO Calculator Inputs'!$E$22-'TCO Calculator Inputs'!$E$23))*'TCO Calculator Inputs'!$E$69,""),"")</f>
        <v/>
      </c>
      <c r="H22" s="73" t="str">
        <f ca="1">IF('TCO Calculator Inputs'!$E$68=2,IF(CELL("type",H$27)="v",(H$21+'TCO Calculator Inputs'!$E$24*('TCO Calculator Inputs'!$E$22-'TCO Calculator Inputs'!$E$23))*'TCO Calculator Inputs'!$E$69,""),"")</f>
        <v/>
      </c>
      <c r="I22" s="73" t="str">
        <f ca="1">IF('TCO Calculator Inputs'!$E$68=2,IF(CELL("type",I$27)="v",(I$21+'TCO Calculator Inputs'!$E$24*('TCO Calculator Inputs'!$E$22-'TCO Calculator Inputs'!$E$23))*'TCO Calculator Inputs'!$E$69,""),"")</f>
        <v/>
      </c>
      <c r="J22" s="73" t="str">
        <f ca="1">IF('TCO Calculator Inputs'!$E$68=2,IF(CELL("type",J$27)="v",(J$21+'TCO Calculator Inputs'!$E$24*('TCO Calculator Inputs'!$E$22-'TCO Calculator Inputs'!$E$23))*'TCO Calculator Inputs'!$E$69,""),"")</f>
        <v/>
      </c>
      <c r="K22" s="73" t="str">
        <f ca="1">IF('TCO Calculator Inputs'!$E$68=2,IF(CELL("type",K$27)="v",(K$21+'TCO Calculator Inputs'!$E$24*('TCO Calculator Inputs'!$E$22-'TCO Calculator Inputs'!$E$23))*'TCO Calculator Inputs'!$E$69,""),"")</f>
        <v/>
      </c>
      <c r="L22" s="73" t="str">
        <f ca="1">IF('TCO Calculator Inputs'!$E$68=2,IF(CELL("type",L$27)="v",(L$21+'TCO Calculator Inputs'!$E$24*('TCO Calculator Inputs'!$E$22-'TCO Calculator Inputs'!$E$23))*'TCO Calculator Inputs'!$E$69,""),"")</f>
        <v/>
      </c>
      <c r="M22" s="73" t="str">
        <f ca="1">IF('TCO Calculator Inputs'!$E$68=2,IF(CELL("type",M$27)="v",(M$21+'TCO Calculator Inputs'!$E$24*('TCO Calculator Inputs'!$E$22-'TCO Calculator Inputs'!$E$23))*'TCO Calculator Inputs'!$E$69,""),"")</f>
        <v/>
      </c>
      <c r="N22" s="73" t="str">
        <f ca="1">IF('TCO Calculator Inputs'!$E$68=2,IF(CELL("type",N$27)="v",(N$21+'TCO Calculator Inputs'!$E$24*('TCO Calculator Inputs'!$E$22-'TCO Calculator Inputs'!$E$23))*'TCO Calculator Inputs'!$E$69,""),"")</f>
        <v/>
      </c>
      <c r="O22" s="73" t="str">
        <f ca="1">IF('TCO Calculator Inputs'!$E$68=2,IF(CELL("type",O$27)="v",(O$21+'TCO Calculator Inputs'!$E$24*('TCO Calculator Inputs'!$E$22-'TCO Calculator Inputs'!$E$23))*'TCO Calculator Inputs'!$E$69,""),"")</f>
        <v/>
      </c>
      <c r="P22" s="73" t="str">
        <f ca="1">IF('TCO Calculator Inputs'!$E$68=2,IF(CELL("type",P$27)="v",(P$21+'TCO Calculator Inputs'!$E$24*('TCO Calculator Inputs'!$E$22-'TCO Calculator Inputs'!$E$23))*'TCO Calculator Inputs'!$E$69,""),"")</f>
        <v/>
      </c>
      <c r="Q22" s="73" t="str">
        <f ca="1">IF('TCO Calculator Inputs'!$E$68=2,IF(CELL("type",Q$27)="v",(Q$21+'TCO Calculator Inputs'!$E$24*('TCO Calculator Inputs'!$E$22-'TCO Calculator Inputs'!$E$23))*'TCO Calculator Inputs'!$E$69,""),"")</f>
        <v/>
      </c>
      <c r="R22" s="73" t="str">
        <f ca="1">IF('TCO Calculator Inputs'!$E$68=2,IF(CELL("type",R$27)="v",(R$21+'TCO Calculator Inputs'!$E$24*('TCO Calculator Inputs'!$E$22-'TCO Calculator Inputs'!$E$23))*'TCO Calculator Inputs'!$E$69,""),"")</f>
        <v/>
      </c>
      <c r="S22" s="73" t="str">
        <f ca="1">IF('TCO Calculator Inputs'!$E$68=2,IF(CELL("type",S$27)="v",(S$21+'TCO Calculator Inputs'!$E$24*('TCO Calculator Inputs'!$E$22-'TCO Calculator Inputs'!$E$23))*'TCO Calculator Inputs'!$E$69,""),"")</f>
        <v/>
      </c>
      <c r="T22" s="73" t="str">
        <f ca="1">IF('TCO Calculator Inputs'!$E$68=2,IF(CELL("type",T$27)="v",(T$21+'TCO Calculator Inputs'!$E$24*('TCO Calculator Inputs'!$E$22-'TCO Calculator Inputs'!$E$23))*'TCO Calculator Inputs'!$E$69,""),"")</f>
        <v/>
      </c>
      <c r="U22" s="73" t="str">
        <f ca="1">IF('TCO Calculator Inputs'!$E$68=2,IF(CELL("type",U$27)="v",(U$21+'TCO Calculator Inputs'!$E$24*('TCO Calculator Inputs'!$E$22-'TCO Calculator Inputs'!$E$23))*'TCO Calculator Inputs'!$E$69,""),"")</f>
        <v/>
      </c>
      <c r="V22" s="73" t="str">
        <f ca="1">IF('TCO Calculator Inputs'!$E$68=2,IF(CELL("type",V$27)="v",(V$21+'TCO Calculator Inputs'!$E$24*('TCO Calculator Inputs'!$E$22-'TCO Calculator Inputs'!$E$23))*'TCO Calculator Inputs'!$E$69,""),"")</f>
        <v/>
      </c>
      <c r="W22" s="73" t="str">
        <f ca="1">IF('TCO Calculator Inputs'!$E$68=2,IF(CELL("type",W$27)="v",(W$21+'TCO Calculator Inputs'!$E$24*('TCO Calculator Inputs'!$E$22-'TCO Calculator Inputs'!$E$23))*'TCO Calculator Inputs'!$E$69,""),"")</f>
        <v/>
      </c>
      <c r="X22" s="73" t="str">
        <f ca="1">IF('TCO Calculator Inputs'!$E$68=2,IF(CELL("type",X$27)="v",(X$21+'TCO Calculator Inputs'!$E$24*('TCO Calculator Inputs'!$E$22-'TCO Calculator Inputs'!$E$23))*'TCO Calculator Inputs'!$E$69,""),"")</f>
        <v/>
      </c>
      <c r="Y22" s="73" t="str">
        <f ca="1">IF('TCO Calculator Inputs'!$E$68=2,IF(CELL("type",Y$27)="v",(Y$21+'TCO Calculator Inputs'!$E$24*('TCO Calculator Inputs'!$E$22-'TCO Calculator Inputs'!$E$23))*'TCO Calculator Inputs'!$E$69,""),"")</f>
        <v/>
      </c>
      <c r="Z22" s="73" t="str">
        <f ca="1">IF('TCO Calculator Inputs'!$E$68=2,IF(CELL("type",Z$27)="v",(Z$21+'TCO Calculator Inputs'!$E$24*('TCO Calculator Inputs'!$E$22-'TCO Calculator Inputs'!$E$23))*'TCO Calculator Inputs'!$E$69,""),"")</f>
        <v/>
      </c>
      <c r="AA22" s="73" t="str">
        <f ca="1">IF('TCO Calculator Inputs'!$E$68=2,IF(CELL("type",AA$27)="v",(AA$21+'TCO Calculator Inputs'!$E$24*('TCO Calculator Inputs'!$E$22-'TCO Calculator Inputs'!$E$23))*'TCO Calculator Inputs'!$E$69,""),"")</f>
        <v/>
      </c>
      <c r="AB22" s="73" t="str">
        <f ca="1">IF('TCO Calculator Inputs'!$E$68=2,IF(CELL("type",AB$27)="v",(AB$21+'TCO Calculator Inputs'!$E$24*('TCO Calculator Inputs'!$E$22-'TCO Calculator Inputs'!$E$23))*'TCO Calculator Inputs'!$E$69,""),"")</f>
        <v/>
      </c>
      <c r="AC22" s="73" t="str">
        <f ca="1">IF('TCO Calculator Inputs'!$E$68=2,IF(CELL("type",AC$27)="v",(AC$21+'TCO Calculator Inputs'!$E$24*('TCO Calculator Inputs'!$E$22-'TCO Calculator Inputs'!$E$23))*'TCO Calculator Inputs'!$E$69,""),"")</f>
        <v/>
      </c>
      <c r="AD22" s="73" t="str">
        <f ca="1">IF('TCO Calculator Inputs'!$E$68=2,IF(CELL("type",AD$27)="v",(AD$21+'TCO Calculator Inputs'!$E$24*('TCO Calculator Inputs'!$E$22-'TCO Calculator Inputs'!$E$23))*'TCO Calculator Inputs'!$E$69,""),"")</f>
        <v/>
      </c>
      <c r="AE22" s="73" t="str">
        <f ca="1">IF('TCO Calculator Inputs'!$E$68=2,IF(CELL("type",AE$27)="v",(AE$21+'TCO Calculator Inputs'!$E$24*('TCO Calculator Inputs'!$E$22-'TCO Calculator Inputs'!$E$23))*'TCO Calculator Inputs'!$E$69,""),"")</f>
        <v/>
      </c>
      <c r="AF22" s="73" t="str">
        <f ca="1">IF('TCO Calculator Inputs'!$E$68=2,IF(CELL("type",AF$27)="v",(AF$21+'TCO Calculator Inputs'!$E$24*('TCO Calculator Inputs'!$E$22-'TCO Calculator Inputs'!$E$23))*'TCO Calculator Inputs'!$E$69,""),"")</f>
        <v/>
      </c>
      <c r="AG22" s="73" t="str">
        <f ca="1">IF('TCO Calculator Inputs'!$E$68=2,IF(CELL("type",AG$27)="v",(AG$21+'TCO Calculator Inputs'!$E$24*('TCO Calculator Inputs'!$E$22-'TCO Calculator Inputs'!$E$23))*'TCO Calculator Inputs'!$E$69,""),"")</f>
        <v/>
      </c>
    </row>
    <row r="23" spans="2:33" x14ac:dyDescent="0.25">
      <c r="B23" s="113" t="s">
        <v>186</v>
      </c>
      <c r="C23" s="74"/>
      <c r="D23" s="73" t="str">
        <f ca="1">IF('TCO Calculator Inputs'!$E$68=3,IF(CELL("type",D$27)="v",PMT('TCO Calculator Inputs'!$E$69,'TCO Calculator Inputs'!$E$19,('TCO Calculator Inputs'!$E$22-'TCO Calculator Inputs'!$E$23)*(1-'TCO Calculator Inputs'!$E$70),0,0)*'TCO Calculator Inputs'!$E$20,""),"")</f>
        <v/>
      </c>
      <c r="E23" s="73" t="str">
        <f ca="1">IF('TCO Calculator Inputs'!$E$68=3,IF(CELL("type",E$27)="v",PMT('TCO Calculator Inputs'!$E$69,'TCO Calculator Inputs'!$E$19,('TCO Calculator Inputs'!$E$22-'TCO Calculator Inputs'!$E$23)*(1-'TCO Calculator Inputs'!$E$70),0,0)*'TCO Calculator Inputs'!$E$20,""),"")</f>
        <v/>
      </c>
      <c r="F23" s="73" t="str">
        <f ca="1">IF('TCO Calculator Inputs'!$E$68=3,IF(CELL("type",F$27)="v",PMT('TCO Calculator Inputs'!$E$69,'TCO Calculator Inputs'!$E$19,('TCO Calculator Inputs'!$E$22-'TCO Calculator Inputs'!$E$23)*(1-'TCO Calculator Inputs'!$E$70),0,0)*'TCO Calculator Inputs'!$E$20,""),"")</f>
        <v/>
      </c>
      <c r="G23" s="73" t="str">
        <f ca="1">IF('TCO Calculator Inputs'!$E$68=3,IF(CELL("type",G$27)="v",PMT('TCO Calculator Inputs'!$E$69,'TCO Calculator Inputs'!$E$19,('TCO Calculator Inputs'!$E$22-'TCO Calculator Inputs'!$E$23)*(1-'TCO Calculator Inputs'!$E$70),0,0)*'TCO Calculator Inputs'!$E$20,""),"")</f>
        <v/>
      </c>
      <c r="H23" s="73" t="str">
        <f ca="1">IF('TCO Calculator Inputs'!$E$68=3,IF(CELL("type",H$27)="v",PMT('TCO Calculator Inputs'!$E$69,'TCO Calculator Inputs'!$E$19,('TCO Calculator Inputs'!$E$22-'TCO Calculator Inputs'!$E$23)*(1-'TCO Calculator Inputs'!$E$70),0,0)*'TCO Calculator Inputs'!$E$20,""),"")</f>
        <v/>
      </c>
      <c r="I23" s="73" t="str">
        <f ca="1">IF('TCO Calculator Inputs'!$E$68=3,IF(CELL("type",I$27)="v",PMT('TCO Calculator Inputs'!$E$69,'TCO Calculator Inputs'!$E$19,('TCO Calculator Inputs'!$E$22-'TCO Calculator Inputs'!$E$23)*(1-'TCO Calculator Inputs'!$E$70),0,0)*'TCO Calculator Inputs'!$E$20,""),"")</f>
        <v/>
      </c>
      <c r="J23" s="73" t="str">
        <f ca="1">IF('TCO Calculator Inputs'!$E$68=3,IF(CELL("type",J$27)="v",PMT('TCO Calculator Inputs'!$E$69,'TCO Calculator Inputs'!$E$19,('TCO Calculator Inputs'!$E$22-'TCO Calculator Inputs'!$E$23)*(1-'TCO Calculator Inputs'!$E$70),0,0)*'TCO Calculator Inputs'!$E$20,""),"")</f>
        <v/>
      </c>
      <c r="K23" s="73" t="str">
        <f ca="1">IF('TCO Calculator Inputs'!$E$68=3,IF(CELL("type",K$27)="v",PMT('TCO Calculator Inputs'!$E$69,'TCO Calculator Inputs'!$E$19,('TCO Calculator Inputs'!$E$22-'TCO Calculator Inputs'!$E$23)*(1-'TCO Calculator Inputs'!$E$70),0,0)*'TCO Calculator Inputs'!$E$20,""),"")</f>
        <v/>
      </c>
      <c r="L23" s="73" t="str">
        <f ca="1">IF('TCO Calculator Inputs'!$E$68=3,IF(CELL("type",L$27)="v",PMT('TCO Calculator Inputs'!$E$69,'TCO Calculator Inputs'!$E$19,('TCO Calculator Inputs'!$E$22-'TCO Calculator Inputs'!$E$23)*(1-'TCO Calculator Inputs'!$E$70),0,0)*'TCO Calculator Inputs'!$E$20,""),"")</f>
        <v/>
      </c>
      <c r="M23" s="73" t="str">
        <f ca="1">IF('TCO Calculator Inputs'!$E$68=3,IF(CELL("type",M$27)="v",PMT('TCO Calculator Inputs'!$E$69,'TCO Calculator Inputs'!$E$19,('TCO Calculator Inputs'!$E$22-'TCO Calculator Inputs'!$E$23)*(1-'TCO Calculator Inputs'!$E$70),0,0)*'TCO Calculator Inputs'!$E$20,""),"")</f>
        <v/>
      </c>
      <c r="N23" s="73" t="str">
        <f ca="1">IF('TCO Calculator Inputs'!$E$68=3,IF(CELL("type",N$27)="v",PMT('TCO Calculator Inputs'!$E$69,'TCO Calculator Inputs'!$E$19,('TCO Calculator Inputs'!$E$22-'TCO Calculator Inputs'!$E$23)*(1-'TCO Calculator Inputs'!$E$70),0,0)*'TCO Calculator Inputs'!$E$20,""),"")</f>
        <v/>
      </c>
      <c r="O23" s="73" t="str">
        <f ca="1">IF('TCO Calculator Inputs'!$E$68=3,IF(CELL("type",O$27)="v",PMT('TCO Calculator Inputs'!$E$69,'TCO Calculator Inputs'!$E$19,('TCO Calculator Inputs'!$E$22-'TCO Calculator Inputs'!$E$23)*(1-'TCO Calculator Inputs'!$E$70),0,0)*'TCO Calculator Inputs'!$E$20,""),"")</f>
        <v/>
      </c>
      <c r="P23" s="73" t="str">
        <f ca="1">IF('TCO Calculator Inputs'!$E$68=3,IF(CELL("type",P$27)="v",PMT('TCO Calculator Inputs'!$E$69,'TCO Calculator Inputs'!$E$19,('TCO Calculator Inputs'!$E$22-'TCO Calculator Inputs'!$E$23)*(1-'TCO Calculator Inputs'!$E$70),0,0)*'TCO Calculator Inputs'!$E$20,""),"")</f>
        <v/>
      </c>
      <c r="Q23" s="73" t="str">
        <f ca="1">IF('TCO Calculator Inputs'!$E$68=3,IF(CELL("type",Q$27)="v",PMT('TCO Calculator Inputs'!$E$69,'TCO Calculator Inputs'!$E$19,('TCO Calculator Inputs'!$E$22-'TCO Calculator Inputs'!$E$23)*(1-'TCO Calculator Inputs'!$E$70),0,0)*'TCO Calculator Inputs'!$E$20,""),"")</f>
        <v/>
      </c>
      <c r="R23" s="73" t="str">
        <f ca="1">IF('TCO Calculator Inputs'!$E$68=3,IF(CELL("type",R$27)="v",PMT('TCO Calculator Inputs'!$E$69,'TCO Calculator Inputs'!$E$19,('TCO Calculator Inputs'!$E$22-'TCO Calculator Inputs'!$E$23)*(1-'TCO Calculator Inputs'!$E$70),0,0)*'TCO Calculator Inputs'!$E$20,""),"")</f>
        <v/>
      </c>
      <c r="S23" s="73" t="str">
        <f ca="1">IF('TCO Calculator Inputs'!$E$68=3,IF(CELL("type",S$27)="v",PMT('TCO Calculator Inputs'!$E$69,'TCO Calculator Inputs'!$E$19,('TCO Calculator Inputs'!$E$22-'TCO Calculator Inputs'!$E$23)*(1-'TCO Calculator Inputs'!$E$70),0,0)*'TCO Calculator Inputs'!$E$20,""),"")</f>
        <v/>
      </c>
      <c r="T23" s="73" t="str">
        <f ca="1">IF('TCO Calculator Inputs'!$E$68=3,IF(CELL("type",T$27)="v",PMT('TCO Calculator Inputs'!$E$69,'TCO Calculator Inputs'!$E$19,('TCO Calculator Inputs'!$E$22-'TCO Calculator Inputs'!$E$23)*(1-'TCO Calculator Inputs'!$E$70),0,0)*'TCO Calculator Inputs'!$E$20,""),"")</f>
        <v/>
      </c>
      <c r="U23" s="73" t="str">
        <f ca="1">IF('TCO Calculator Inputs'!$E$68=3,IF(CELL("type",U$27)="v",PMT('TCO Calculator Inputs'!$E$69,'TCO Calculator Inputs'!$E$19,('TCO Calculator Inputs'!$E$22-'TCO Calculator Inputs'!$E$23)*(1-'TCO Calculator Inputs'!$E$70),0,0)*'TCO Calculator Inputs'!$E$20,""),"")</f>
        <v/>
      </c>
      <c r="V23" s="73" t="str">
        <f ca="1">IF('TCO Calculator Inputs'!$E$68=3,IF(CELL("type",V$27)="v",PMT('TCO Calculator Inputs'!$E$69,'TCO Calculator Inputs'!$E$19,('TCO Calculator Inputs'!$E$22-'TCO Calculator Inputs'!$E$23)*(1-'TCO Calculator Inputs'!$E$70),0,0)*'TCO Calculator Inputs'!$E$20,""),"")</f>
        <v/>
      </c>
      <c r="W23" s="73" t="str">
        <f ca="1">IF('TCO Calculator Inputs'!$E$68=3,IF(CELL("type",W$27)="v",PMT('TCO Calculator Inputs'!$E$69,'TCO Calculator Inputs'!$E$19,('TCO Calculator Inputs'!$E$22-'TCO Calculator Inputs'!$E$23)*(1-'TCO Calculator Inputs'!$E$70),0,0)*'TCO Calculator Inputs'!$E$20,""),"")</f>
        <v/>
      </c>
      <c r="X23" s="73" t="str">
        <f ca="1">IF('TCO Calculator Inputs'!$E$68=3,IF(CELL("type",X$27)="v",PMT('TCO Calculator Inputs'!$E$69,'TCO Calculator Inputs'!$E$19,('TCO Calculator Inputs'!$E$22-'TCO Calculator Inputs'!$E$23)*(1-'TCO Calculator Inputs'!$E$70),0,0)*'TCO Calculator Inputs'!$E$20,""),"")</f>
        <v/>
      </c>
      <c r="Y23" s="73" t="str">
        <f ca="1">IF('TCO Calculator Inputs'!$E$68=3,IF(CELL("type",Y$27)="v",PMT('TCO Calculator Inputs'!$E$69,'TCO Calculator Inputs'!$E$19,('TCO Calculator Inputs'!$E$22-'TCO Calculator Inputs'!$E$23)*(1-'TCO Calculator Inputs'!$E$70),0,0)*'TCO Calculator Inputs'!$E$20,""),"")</f>
        <v/>
      </c>
      <c r="Z23" s="73" t="str">
        <f ca="1">IF('TCO Calculator Inputs'!$E$68=3,IF(CELL("type",Z$27)="v",PMT('TCO Calculator Inputs'!$E$69,'TCO Calculator Inputs'!$E$19,('TCO Calculator Inputs'!$E$22-'TCO Calculator Inputs'!$E$23)*(1-'TCO Calculator Inputs'!$E$70),0,0)*'TCO Calculator Inputs'!$E$20,""),"")</f>
        <v/>
      </c>
      <c r="AA23" s="73" t="str">
        <f ca="1">IF('TCO Calculator Inputs'!$E$68=3,IF(CELL("type",AA$27)="v",PMT('TCO Calculator Inputs'!$E$69,'TCO Calculator Inputs'!$E$19,('TCO Calculator Inputs'!$E$22-'TCO Calculator Inputs'!$E$23)*(1-'TCO Calculator Inputs'!$E$70),0,0)*'TCO Calculator Inputs'!$E$20,""),"")</f>
        <v/>
      </c>
      <c r="AB23" s="73" t="str">
        <f ca="1">IF('TCO Calculator Inputs'!$E$68=3,IF(CELL("type",AB$27)="v",PMT('TCO Calculator Inputs'!$E$69,'TCO Calculator Inputs'!$E$19,('TCO Calculator Inputs'!$E$22-'TCO Calculator Inputs'!$E$23)*(1-'TCO Calculator Inputs'!$E$70),0,0)*'TCO Calculator Inputs'!$E$20,""),"")</f>
        <v/>
      </c>
      <c r="AC23" s="73" t="str">
        <f ca="1">IF('TCO Calculator Inputs'!$E$68=3,IF(CELL("type",AC$27)="v",PMT('TCO Calculator Inputs'!$E$69,'TCO Calculator Inputs'!$E$19,('TCO Calculator Inputs'!$E$22-'TCO Calculator Inputs'!$E$23)*(1-'TCO Calculator Inputs'!$E$70),0,0)*'TCO Calculator Inputs'!$E$20,""),"")</f>
        <v/>
      </c>
      <c r="AD23" s="73" t="str">
        <f ca="1">IF('TCO Calculator Inputs'!$E$68=3,IF(CELL("type",AD$27)="v",PMT('TCO Calculator Inputs'!$E$69,'TCO Calculator Inputs'!$E$19,('TCO Calculator Inputs'!$E$22-'TCO Calculator Inputs'!$E$23)*(1-'TCO Calculator Inputs'!$E$70),0,0)*'TCO Calculator Inputs'!$E$20,""),"")</f>
        <v/>
      </c>
      <c r="AE23" s="73" t="str">
        <f ca="1">IF('TCO Calculator Inputs'!$E$68=3,IF(CELL("type",AE$27)="v",PMT('TCO Calculator Inputs'!$E$69,'TCO Calculator Inputs'!$E$19,('TCO Calculator Inputs'!$E$22-'TCO Calculator Inputs'!$E$23)*(1-'TCO Calculator Inputs'!$E$70),0,0)*'TCO Calculator Inputs'!$E$20,""),"")</f>
        <v/>
      </c>
      <c r="AF23" s="73" t="str">
        <f ca="1">IF('TCO Calculator Inputs'!$E$68=3,IF(CELL("type",AF$27)="v",PMT('TCO Calculator Inputs'!$E$69,'TCO Calculator Inputs'!$E$19,('TCO Calculator Inputs'!$E$22-'TCO Calculator Inputs'!$E$23)*(1-'TCO Calculator Inputs'!$E$70),0,0)*'TCO Calculator Inputs'!$E$20,""),"")</f>
        <v/>
      </c>
      <c r="AG23" s="73" t="str">
        <f ca="1">IF('TCO Calculator Inputs'!$E$68=3,IF(CELL("type",AG$27)="v",PMT('TCO Calculator Inputs'!$E$69,'TCO Calculator Inputs'!$E$19,('TCO Calculator Inputs'!$E$22-'TCO Calculator Inputs'!$E$23)*(1-'TCO Calculator Inputs'!$E$70),0,0)*'TCO Calculator Inputs'!$E$20,""),"")</f>
        <v/>
      </c>
    </row>
    <row r="24" spans="2:33" ht="15.75" thickBot="1" x14ac:dyDescent="0.3">
      <c r="C24" s="65"/>
    </row>
    <row r="25" spans="2:33" ht="16.5" thickBot="1" x14ac:dyDescent="0.3">
      <c r="B25" s="24" t="s">
        <v>108</v>
      </c>
      <c r="C25" s="65"/>
    </row>
    <row r="26" spans="2:33" x14ac:dyDescent="0.25">
      <c r="B26" s="66" t="s">
        <v>105</v>
      </c>
      <c r="C26" s="68">
        <f ca="1">C28+NPV('TCO Calculator Inputs'!$E$69,D28,E28,F28,G28,H28,I28,J28,K28,L28,M28,N28,O28,P28,Q28,R28,S28,T28,U28,V28,W28,X28,Y28,Z28,AA28,AB28,AC28,AD28,AE28,AF28,AG28)</f>
        <v>-80980.25640911331</v>
      </c>
    </row>
    <row r="27" spans="2:33" x14ac:dyDescent="0.25">
      <c r="B27" s="66" t="s">
        <v>94</v>
      </c>
      <c r="C27" s="70">
        <v>0</v>
      </c>
      <c r="D27" s="70">
        <f ca="1">IF(CELL("type",C27)="v",IF(('TCO Calculator Inputs'!$E$19-C27)&gt;0,C27+1,""),"")</f>
        <v>1</v>
      </c>
      <c r="E27" s="70">
        <f ca="1">IF(CELL("type",D27)="v",IF(('TCO Calculator Inputs'!$E$19-D27)&gt;0,D27+1,""),"")</f>
        <v>2</v>
      </c>
      <c r="F27" s="70">
        <f ca="1">IF(CELL("type",E27)="v",IF(('TCO Calculator Inputs'!$E$19-E27)&gt;0,E27+1,""),"")</f>
        <v>3</v>
      </c>
      <c r="G27" s="70">
        <f ca="1">IF(CELL("type",F27)="v",IF(('TCO Calculator Inputs'!$E$19-F27)&gt;0,F27+1,""),"")</f>
        <v>4</v>
      </c>
      <c r="H27" s="70">
        <f ca="1">IF(CELL("type",G27)="v",IF(('TCO Calculator Inputs'!$E$19-G27)&gt;0,G27+1,""),"")</f>
        <v>5</v>
      </c>
      <c r="I27" s="70">
        <f ca="1">IF(CELL("type",H27)="v",IF(('TCO Calculator Inputs'!$E$19-H27)&gt;0,H27+1,""),"")</f>
        <v>6</v>
      </c>
      <c r="J27" s="70">
        <f ca="1">IF(CELL("type",I27)="v",IF(('TCO Calculator Inputs'!$E$19-I27)&gt;0,I27+1,""),"")</f>
        <v>7</v>
      </c>
      <c r="K27" s="70">
        <f ca="1">IF(CELL("type",J27)="v",IF(('TCO Calculator Inputs'!$E$19-J27)&gt;0,J27+1,""),"")</f>
        <v>8</v>
      </c>
      <c r="L27" s="70">
        <f ca="1">IF(CELL("type",K27)="v",IF(('TCO Calculator Inputs'!$E$19-K27)&gt;0,K27+1,""),"")</f>
        <v>9</v>
      </c>
      <c r="M27" s="70">
        <f ca="1">IF(CELL("type",L27)="v",IF(('TCO Calculator Inputs'!$E$19-L27)&gt;0,L27+1,""),"")</f>
        <v>10</v>
      </c>
      <c r="N27" s="70" t="str">
        <f ca="1">IF(CELL("type",M27)="v",IF(('TCO Calculator Inputs'!$E$19-M27)&gt;0,M27+1,""),"")</f>
        <v/>
      </c>
      <c r="O27" s="70" t="str">
        <f ca="1">IF(CELL("type",N27)="v",IF(('TCO Calculator Inputs'!$E$19-N27)&gt;0,N27+1,""),"")</f>
        <v/>
      </c>
      <c r="P27" s="70" t="str">
        <f ca="1">IF(CELL("type",O27)="v",IF(('TCO Calculator Inputs'!$E$19-O27)&gt;0,O27+1,""),"")</f>
        <v/>
      </c>
      <c r="Q27" s="70" t="str">
        <f ca="1">IF(CELL("type",P27)="v",IF(('TCO Calculator Inputs'!$E$19-P27)&gt;0,P27+1,""),"")</f>
        <v/>
      </c>
      <c r="R27" s="70" t="str">
        <f ca="1">IF(CELL("type",Q27)="v",IF(('TCO Calculator Inputs'!$E$19-Q27)&gt;0,Q27+1,""),"")</f>
        <v/>
      </c>
      <c r="S27" s="70" t="str">
        <f ca="1">IF(CELL("type",R27)="v",IF(('TCO Calculator Inputs'!$E$19-R27)&gt;0,R27+1,""),"")</f>
        <v/>
      </c>
      <c r="T27" s="70" t="str">
        <f ca="1">IF(CELL("type",S27)="v",IF(('TCO Calculator Inputs'!$E$19-S27)&gt;0,S27+1,""),"")</f>
        <v/>
      </c>
      <c r="U27" s="70" t="str">
        <f ca="1">IF(CELL("type",T27)="v",IF(('TCO Calculator Inputs'!$E$19-T27)&gt;0,T27+1,""),"")</f>
        <v/>
      </c>
      <c r="V27" s="70" t="str">
        <f ca="1">IF(CELL("type",U27)="v",IF(('TCO Calculator Inputs'!$E$19-U27)&gt;0,U27+1,""),"")</f>
        <v/>
      </c>
      <c r="W27" s="70" t="str">
        <f ca="1">IF(CELL("type",V27)="v",IF(('TCO Calculator Inputs'!$E$19-V27)&gt;0,V27+1,""),"")</f>
        <v/>
      </c>
      <c r="X27" s="70" t="str">
        <f ca="1">IF(CELL("type",W27)="v",IF(('TCO Calculator Inputs'!$E$19-W27)&gt;0,W27+1,""),"")</f>
        <v/>
      </c>
      <c r="Y27" s="70" t="str">
        <f ca="1">IF(CELL("type",X27)="v",IF(('TCO Calculator Inputs'!$E$19-X27)&gt;0,X27+1,""),"")</f>
        <v/>
      </c>
      <c r="Z27" s="70" t="str">
        <f ca="1">IF(CELL("type",Y27)="v",IF(('TCO Calculator Inputs'!$E$19-Y27)&gt;0,Y27+1,""),"")</f>
        <v/>
      </c>
      <c r="AA27" s="70" t="str">
        <f ca="1">IF(CELL("type",Z27)="v",IF(('TCO Calculator Inputs'!$E$19-Z27)&gt;0,Z27+1,""),"")</f>
        <v/>
      </c>
      <c r="AB27" s="70" t="str">
        <f ca="1">IF(CELL("type",AA27)="v",IF(('TCO Calculator Inputs'!$E$19-AA27)&gt;0,AA27+1,""),"")</f>
        <v/>
      </c>
      <c r="AC27" s="70" t="str">
        <f ca="1">IF(CELL("type",AB27)="v",IF(('TCO Calculator Inputs'!$E$19-AB27)&gt;0,AB27+1,""),"")</f>
        <v/>
      </c>
      <c r="AD27" s="70" t="str">
        <f ca="1">IF(CELL("type",AC27)="v",IF(('TCO Calculator Inputs'!$E$19-AC27)&gt;0,AC27+1,""),"")</f>
        <v/>
      </c>
      <c r="AE27" s="70" t="str">
        <f ca="1">IF(CELL("type",AD27)="v",IF(('TCO Calculator Inputs'!$E$19-AD27)&gt;0,AD27+1,""),"")</f>
        <v/>
      </c>
      <c r="AF27" s="70" t="str">
        <f ca="1">IF(CELL("type",AE27)="v",IF(('TCO Calculator Inputs'!$E$19-AE27)&gt;0,AE27+1,""),"")</f>
        <v/>
      </c>
      <c r="AG27" s="70" t="str">
        <f ca="1">IF(CELL("type",AF27)="v",IF(('TCO Calculator Inputs'!$E$19-AF27)&gt;0,AF27+1,""),"")</f>
        <v/>
      </c>
    </row>
    <row r="28" spans="2:33" x14ac:dyDescent="0.25">
      <c r="B28" s="66" t="s">
        <v>100</v>
      </c>
      <c r="C28" s="69">
        <f ca="1">IF(CELL("type",C$11)="v",SUM(C29:C51),"")</f>
        <v>-35000</v>
      </c>
      <c r="D28" s="69">
        <f ca="1">IF(CELL("type",D$11)="v",SUM(D29:D51),"")</f>
        <v>-4608.08</v>
      </c>
      <c r="E28" s="69">
        <f t="shared" ref="E28:AG28" ca="1" si="1">IF(CELL("type",E$11)="v",SUM(E29:E51),"")</f>
        <v>-4858.4840000000004</v>
      </c>
      <c r="F28" s="69">
        <f t="shared" ca="1" si="1"/>
        <v>-5121.4082000000008</v>
      </c>
      <c r="G28" s="69">
        <f t="shared" ca="1" si="1"/>
        <v>-5397.4786100000001</v>
      </c>
      <c r="H28" s="69">
        <f t="shared" ca="1" si="1"/>
        <v>-5687.3525405</v>
      </c>
      <c r="I28" s="69">
        <f t="shared" ca="1" si="1"/>
        <v>-5991.7201675249999</v>
      </c>
      <c r="J28" s="69">
        <f t="shared" ca="1" si="1"/>
        <v>-6311.3061759012508</v>
      </c>
      <c r="K28" s="69">
        <f t="shared" ca="1" si="1"/>
        <v>-6646.871484696313</v>
      </c>
      <c r="L28" s="69">
        <f t="shared" ca="1" si="1"/>
        <v>-24204.215058931128</v>
      </c>
      <c r="M28" s="69">
        <f t="shared" ca="1" si="1"/>
        <v>-5369.1758118776852</v>
      </c>
      <c r="N28" s="69" t="str">
        <f t="shared" ca="1" si="1"/>
        <v/>
      </c>
      <c r="O28" s="69" t="str">
        <f t="shared" ca="1" si="1"/>
        <v/>
      </c>
      <c r="P28" s="69" t="str">
        <f t="shared" ca="1" si="1"/>
        <v/>
      </c>
      <c r="Q28" s="69" t="str">
        <f t="shared" ca="1" si="1"/>
        <v/>
      </c>
      <c r="R28" s="69" t="str">
        <f t="shared" ca="1" si="1"/>
        <v/>
      </c>
      <c r="S28" s="69" t="str">
        <f t="shared" ca="1" si="1"/>
        <v/>
      </c>
      <c r="T28" s="69" t="str">
        <f t="shared" ca="1" si="1"/>
        <v/>
      </c>
      <c r="U28" s="69" t="str">
        <f t="shared" ca="1" si="1"/>
        <v/>
      </c>
      <c r="V28" s="69" t="str">
        <f t="shared" ca="1" si="1"/>
        <v/>
      </c>
      <c r="W28" s="69" t="str">
        <f t="shared" ca="1" si="1"/>
        <v/>
      </c>
      <c r="X28" s="69" t="str">
        <f t="shared" ca="1" si="1"/>
        <v/>
      </c>
      <c r="Y28" s="69" t="str">
        <f t="shared" ca="1" si="1"/>
        <v/>
      </c>
      <c r="Z28" s="69" t="str">
        <f t="shared" ca="1" si="1"/>
        <v/>
      </c>
      <c r="AA28" s="69" t="str">
        <f t="shared" ca="1" si="1"/>
        <v/>
      </c>
      <c r="AB28" s="69" t="str">
        <f t="shared" ca="1" si="1"/>
        <v/>
      </c>
      <c r="AC28" s="69" t="str">
        <f t="shared" ca="1" si="1"/>
        <v/>
      </c>
      <c r="AD28" s="69" t="str">
        <f t="shared" ca="1" si="1"/>
        <v/>
      </c>
      <c r="AE28" s="69" t="str">
        <f t="shared" ca="1" si="1"/>
        <v/>
      </c>
      <c r="AF28" s="69" t="str">
        <f t="shared" ca="1" si="1"/>
        <v/>
      </c>
      <c r="AG28" s="69" t="str">
        <f t="shared" ca="1" si="1"/>
        <v/>
      </c>
    </row>
    <row r="29" spans="2:33" x14ac:dyDescent="0.25">
      <c r="B29" s="46" t="s">
        <v>95</v>
      </c>
      <c r="C29" s="71">
        <f>IF('TCO Calculator Inputs'!E68=1,-('TCO Calculator Inputs'!E49-'TCO Calculator Inputs'!C50)*'TCO Calculator Inputs'!$E$20,"")</f>
        <v>-35000</v>
      </c>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0" spans="2:33" x14ac:dyDescent="0.25">
      <c r="B30" s="46" t="s">
        <v>96</v>
      </c>
      <c r="C30" s="74"/>
      <c r="D30" s="73">
        <f ca="1">IF(CELL("type",D$27)="v",(-('TCO Calculator Inputs'!$E$16/'TCO Calculator Inputs'!$E$35)*(('TCO Calculator Inputs'!$E$45)*(1+'TCO Calculator Inputs'!$E$46)^D$27))*'TCO Calculator Inputs'!$E$20,"")</f>
        <v>-808.07999999999993</v>
      </c>
      <c r="E30" s="73">
        <f ca="1">IF(CELL("type",E$27)="v",(-('TCO Calculator Inputs'!$E$16/'TCO Calculator Inputs'!$E$35)*(('TCO Calculator Inputs'!$E$45)*(1+'TCO Calculator Inputs'!$E$46)^E$27))*'TCO Calculator Inputs'!$E$20,"")</f>
        <v>-848.48399999999992</v>
      </c>
      <c r="F30" s="73">
        <f ca="1">IF(CELL("type",F$27)="v",(-('TCO Calculator Inputs'!$E$16/'TCO Calculator Inputs'!$E$35)*(('TCO Calculator Inputs'!$E$45)*(1+'TCO Calculator Inputs'!$E$46)^F$27))*'TCO Calculator Inputs'!$E$20,"")</f>
        <v>-890.90820000000008</v>
      </c>
      <c r="G30" s="73">
        <f ca="1">IF(CELL("type",G$27)="v",(-('TCO Calculator Inputs'!$E$16/'TCO Calculator Inputs'!$E$35)*(('TCO Calculator Inputs'!$E$45)*(1+'TCO Calculator Inputs'!$E$46)^G$27))*'TCO Calculator Inputs'!$E$20,"")</f>
        <v>-935.4536099999998</v>
      </c>
      <c r="H30" s="73">
        <f ca="1">IF(CELL("type",H$27)="v",(-('TCO Calculator Inputs'!$E$16/'TCO Calculator Inputs'!$E$35)*(('TCO Calculator Inputs'!$E$45)*(1+'TCO Calculator Inputs'!$E$46)^H$27))*'TCO Calculator Inputs'!$E$20,"")</f>
        <v>-982.2262905</v>
      </c>
      <c r="I30" s="73">
        <f ca="1">IF(CELL("type",I$27)="v",(-('TCO Calculator Inputs'!$E$16/'TCO Calculator Inputs'!$E$35)*(('TCO Calculator Inputs'!$E$45)*(1+'TCO Calculator Inputs'!$E$46)^I$27))*'TCO Calculator Inputs'!$E$20,"")</f>
        <v>-1031.3376050249999</v>
      </c>
      <c r="J30" s="73">
        <f ca="1">IF(CELL("type",J$27)="v",(-('TCO Calculator Inputs'!$E$16/'TCO Calculator Inputs'!$E$35)*(('TCO Calculator Inputs'!$E$45)*(1+'TCO Calculator Inputs'!$E$46)^J$27))*'TCO Calculator Inputs'!$E$20,"")</f>
        <v>-1082.9044852762502</v>
      </c>
      <c r="K30" s="73">
        <f ca="1">IF(CELL("type",K$27)="v",(-('TCO Calculator Inputs'!$E$16/'TCO Calculator Inputs'!$E$35)*(('TCO Calculator Inputs'!$E$45)*(1+'TCO Calculator Inputs'!$E$46)^K$27))*'TCO Calculator Inputs'!$E$20,"")</f>
        <v>-1137.0497095400624</v>
      </c>
      <c r="L30" s="73">
        <f ca="1">IF(CELL("type",L$27)="v",(-('TCO Calculator Inputs'!$E$16/'TCO Calculator Inputs'!$E$35)*(('TCO Calculator Inputs'!$E$45)*(1+'TCO Calculator Inputs'!$E$46)^L$27))*'TCO Calculator Inputs'!$E$20,"")</f>
        <v>-1193.9021950170657</v>
      </c>
      <c r="M30" s="73">
        <f ca="1">IF(CELL("type",M$27)="v",(-('TCO Calculator Inputs'!$E$16/'TCO Calculator Inputs'!$E$35)*(('TCO Calculator Inputs'!$E$45)*(1+'TCO Calculator Inputs'!$E$46)^M$27))*'TCO Calculator Inputs'!$E$20,"")</f>
        <v>-1253.5973047679188</v>
      </c>
      <c r="N30" s="73" t="str">
        <f ca="1">IF(CELL("type",N$27)="v",(-('TCO Calculator Inputs'!$E$16/'TCO Calculator Inputs'!$E$35)*(('TCO Calculator Inputs'!$E$45)*(1+'TCO Calculator Inputs'!$E$46)^N$27))*'TCO Calculator Inputs'!$E$20,"")</f>
        <v/>
      </c>
      <c r="O30" s="73" t="str">
        <f ca="1">IF(CELL("type",O$27)="v",(-('TCO Calculator Inputs'!$E$16/'TCO Calculator Inputs'!$E$35)*(('TCO Calculator Inputs'!$E$45)*(1+'TCO Calculator Inputs'!$E$46)^O$27))*'TCO Calculator Inputs'!$E$20,"")</f>
        <v/>
      </c>
      <c r="P30" s="73" t="str">
        <f ca="1">IF(CELL("type",P$27)="v",(-('TCO Calculator Inputs'!$E$16/'TCO Calculator Inputs'!$E$35)*(('TCO Calculator Inputs'!$E$45)*(1+'TCO Calculator Inputs'!$E$46)^P$27))*'TCO Calculator Inputs'!$E$20,"")</f>
        <v/>
      </c>
      <c r="Q30" s="73" t="str">
        <f ca="1">IF(CELL("type",Q$27)="v",(-('TCO Calculator Inputs'!$E$16/'TCO Calculator Inputs'!$E$35)*(('TCO Calculator Inputs'!$E$45)*(1+'TCO Calculator Inputs'!$E$46)^Q$27))*'TCO Calculator Inputs'!$E$20,"")</f>
        <v/>
      </c>
      <c r="R30" s="73" t="str">
        <f ca="1">IF(CELL("type",R$27)="v",(-('TCO Calculator Inputs'!$E$16/'TCO Calculator Inputs'!$E$35)*(('TCO Calculator Inputs'!$E$45)*(1+'TCO Calculator Inputs'!$E$46)^R$27))*'TCO Calculator Inputs'!$E$20,"")</f>
        <v/>
      </c>
      <c r="S30" s="73" t="str">
        <f ca="1">IF(CELL("type",S$27)="v",(-('TCO Calculator Inputs'!$E$16/'TCO Calculator Inputs'!$E$35)*(('TCO Calculator Inputs'!$E$45)*(1+'TCO Calculator Inputs'!$E$46)^S$27))*'TCO Calculator Inputs'!$E$20,"")</f>
        <v/>
      </c>
      <c r="T30" s="73" t="str">
        <f ca="1">IF(CELL("type",T$27)="v",(-('TCO Calculator Inputs'!$E$16/'TCO Calculator Inputs'!$E$35)*(('TCO Calculator Inputs'!$E$45)*(1+'TCO Calculator Inputs'!$E$46)^T$27))*'TCO Calculator Inputs'!$E$20,"")</f>
        <v/>
      </c>
      <c r="U30" s="73" t="str">
        <f ca="1">IF(CELL("type",U$27)="v",(-('TCO Calculator Inputs'!$E$16/'TCO Calculator Inputs'!$E$35)*(('TCO Calculator Inputs'!$E$45)*(1+'TCO Calculator Inputs'!$E$46)^U$27))*'TCO Calculator Inputs'!$E$20,"")</f>
        <v/>
      </c>
      <c r="V30" s="73" t="str">
        <f ca="1">IF(CELL("type",V$27)="v",(-('TCO Calculator Inputs'!$E$16/'TCO Calculator Inputs'!$E$35)*(('TCO Calculator Inputs'!$E$45)*(1+'TCO Calculator Inputs'!$E$46)^V$27))*'TCO Calculator Inputs'!$E$20,"")</f>
        <v/>
      </c>
      <c r="W30" s="73" t="str">
        <f ca="1">IF(CELL("type",W$27)="v",(-('TCO Calculator Inputs'!$E$16/'TCO Calculator Inputs'!$E$35)*(('TCO Calculator Inputs'!$E$45)*(1+'TCO Calculator Inputs'!$E$46)^W$27))*'TCO Calculator Inputs'!$E$20,"")</f>
        <v/>
      </c>
      <c r="X30" s="73" t="str">
        <f ca="1">IF(CELL("type",X$27)="v",(-('TCO Calculator Inputs'!$E$16/'TCO Calculator Inputs'!$E$35)*(('TCO Calculator Inputs'!$E$45)*(1+'TCO Calculator Inputs'!$E$46)^X$27))*'TCO Calculator Inputs'!$E$20,"")</f>
        <v/>
      </c>
      <c r="Y30" s="73" t="str">
        <f ca="1">IF(CELL("type",Y$27)="v",(-('TCO Calculator Inputs'!$E$16/'TCO Calculator Inputs'!$E$35)*(('TCO Calculator Inputs'!$E$45)*(1+'TCO Calculator Inputs'!$E$46)^Y$27))*'TCO Calculator Inputs'!$E$20,"")</f>
        <v/>
      </c>
      <c r="Z30" s="73" t="str">
        <f ca="1">IF(CELL("type",Z$27)="v",(-('TCO Calculator Inputs'!$E$16/'TCO Calculator Inputs'!$E$35)*(('TCO Calculator Inputs'!$E$45)*(1+'TCO Calculator Inputs'!$E$46)^Z$27))*'TCO Calculator Inputs'!$E$20,"")</f>
        <v/>
      </c>
      <c r="AA30" s="73" t="str">
        <f ca="1">IF(CELL("type",AA$27)="v",(-('TCO Calculator Inputs'!$E$16/'TCO Calculator Inputs'!$E$35)*(('TCO Calculator Inputs'!$E$45)*(1+'TCO Calculator Inputs'!$E$46)^AA$27))*'TCO Calculator Inputs'!$E$20,"")</f>
        <v/>
      </c>
      <c r="AB30" s="73" t="str">
        <f ca="1">IF(CELL("type",AB$27)="v",(-('TCO Calculator Inputs'!$E$16/'TCO Calculator Inputs'!$E$35)*(('TCO Calculator Inputs'!$E$45)*(1+'TCO Calculator Inputs'!$E$46)^AB$27))*'TCO Calculator Inputs'!$E$20,"")</f>
        <v/>
      </c>
      <c r="AC30" s="73" t="str">
        <f ca="1">IF(CELL("type",AC$27)="v",(-('TCO Calculator Inputs'!$E$16/'TCO Calculator Inputs'!$E$35)*(('TCO Calculator Inputs'!$E$45)*(1+'TCO Calculator Inputs'!$E$46)^AC$27))*'TCO Calculator Inputs'!$E$20,"")</f>
        <v/>
      </c>
      <c r="AD30" s="73" t="str">
        <f ca="1">IF(CELL("type",AD$27)="v",(-('TCO Calculator Inputs'!$E$16/'TCO Calculator Inputs'!$E$35)*(('TCO Calculator Inputs'!$E$45)*(1+'TCO Calculator Inputs'!$E$46)^AD$27))*'TCO Calculator Inputs'!$E$20,"")</f>
        <v/>
      </c>
      <c r="AE30" s="73" t="str">
        <f ca="1">IF(CELL("type",AE$27)="v",(-('TCO Calculator Inputs'!$E$16/'TCO Calculator Inputs'!$E$35)*(('TCO Calculator Inputs'!$E$45)*(1+'TCO Calculator Inputs'!$E$46)^AE$27))*'TCO Calculator Inputs'!$E$20,"")</f>
        <v/>
      </c>
      <c r="AF30" s="73" t="str">
        <f ca="1">IF(CELL("type",AF$27)="v",(-('TCO Calculator Inputs'!$E$16/'TCO Calculator Inputs'!$E$35)*(('TCO Calculator Inputs'!$E$45)*(1+'TCO Calculator Inputs'!$E$46)^AF$27))*'TCO Calculator Inputs'!$E$20,"")</f>
        <v/>
      </c>
      <c r="AG30" s="73" t="str">
        <f ca="1">IF(CELL("type",AG$27)="v",(-('TCO Calculator Inputs'!$E$16/'TCO Calculator Inputs'!$E$35)*(('TCO Calculator Inputs'!$E$45)*(1+'TCO Calculator Inputs'!$E$46)^AG$27))*'TCO Calculator Inputs'!$E$20,"")</f>
        <v/>
      </c>
    </row>
    <row r="31" spans="2:33" x14ac:dyDescent="0.25">
      <c r="B31" s="46" t="s">
        <v>98</v>
      </c>
      <c r="C31" s="74"/>
      <c r="D31" s="73">
        <f ca="1">IF(CELL("type",D$27)="v",(D15*'TCO Calculator Inputs'!$E$52),"")</f>
        <v>-1050</v>
      </c>
      <c r="E31" s="73">
        <f ca="1">IF(CELL("type",E$27)="v",(E15*'TCO Calculator Inputs'!$E$52),"")</f>
        <v>-1102.5</v>
      </c>
      <c r="F31" s="73">
        <f ca="1">IF(CELL("type",F$27)="v",(F15*'TCO Calculator Inputs'!$E$52),"")</f>
        <v>-1157.6250000000002</v>
      </c>
      <c r="G31" s="73">
        <f ca="1">IF(CELL("type",G$27)="v",(G15*'TCO Calculator Inputs'!$E$52),"")</f>
        <v>-1215.5062499999999</v>
      </c>
      <c r="H31" s="73">
        <f ca="1">IF(CELL("type",H$27)="v",(H15*'TCO Calculator Inputs'!$E$52),"")</f>
        <v>-1276.2815625000001</v>
      </c>
      <c r="I31" s="73">
        <f ca="1">IF(CELL("type",I$27)="v",(I15*'TCO Calculator Inputs'!$E$52),"")</f>
        <v>-1340.095640625</v>
      </c>
      <c r="J31" s="73">
        <f ca="1">IF(CELL("type",J$27)="v",(J15*'TCO Calculator Inputs'!$E$52),"")</f>
        <v>-1407.1004226562502</v>
      </c>
      <c r="K31" s="73">
        <f ca="1">IF(CELL("type",K$27)="v",(K15*'TCO Calculator Inputs'!$E$52),"")</f>
        <v>-1477.4554437890627</v>
      </c>
      <c r="L31" s="73">
        <f ca="1">IF(CELL("type",L$27)="v",(L15*'TCO Calculator Inputs'!$E$52),"")</f>
        <v>-1551.3282159785158</v>
      </c>
      <c r="M31" s="73">
        <f ca="1">IF(CELL("type",M$27)="v",(M15*'TCO Calculator Inputs'!$E$52),"")</f>
        <v>-1628.8946267774415</v>
      </c>
      <c r="N31" s="73" t="str">
        <f ca="1">IF(CELL("type",N$27)="v",(N15*'TCO Calculator Inputs'!$E$52),"")</f>
        <v/>
      </c>
      <c r="O31" s="73" t="str">
        <f ca="1">IF(CELL("type",O$27)="v",(O15*'TCO Calculator Inputs'!$E$52),"")</f>
        <v/>
      </c>
      <c r="P31" s="73" t="str">
        <f ca="1">IF(CELL("type",P$27)="v",(P15*'TCO Calculator Inputs'!$E$52),"")</f>
        <v/>
      </c>
      <c r="Q31" s="73" t="str">
        <f ca="1">IF(CELL("type",Q$27)="v",(Q15*'TCO Calculator Inputs'!$E$52),"")</f>
        <v/>
      </c>
      <c r="R31" s="73" t="str">
        <f ca="1">IF(CELL("type",R$27)="v",(R15*'TCO Calculator Inputs'!$E$52),"")</f>
        <v/>
      </c>
      <c r="S31" s="73" t="str">
        <f ca="1">IF(CELL("type",S$27)="v",(S15*'TCO Calculator Inputs'!$E$52),"")</f>
        <v/>
      </c>
      <c r="T31" s="73" t="str">
        <f ca="1">IF(CELL("type",T$27)="v",(T15*'TCO Calculator Inputs'!$E$52),"")</f>
        <v/>
      </c>
      <c r="U31" s="73" t="str">
        <f ca="1">IF(CELL("type",U$27)="v",(U15*'TCO Calculator Inputs'!$E$52),"")</f>
        <v/>
      </c>
      <c r="V31" s="73" t="str">
        <f ca="1">IF(CELL("type",V$27)="v",(V15*'TCO Calculator Inputs'!$E$52),"")</f>
        <v/>
      </c>
      <c r="W31" s="73" t="str">
        <f ca="1">IF(CELL("type",W$27)="v",(W15*'TCO Calculator Inputs'!$E$52),"")</f>
        <v/>
      </c>
      <c r="X31" s="73" t="str">
        <f ca="1">IF(CELL("type",X$27)="v",(X15*'TCO Calculator Inputs'!$E$52),"")</f>
        <v/>
      </c>
      <c r="Y31" s="73" t="str">
        <f ca="1">IF(CELL("type",Y$27)="v",(Y15*'TCO Calculator Inputs'!$E$52),"")</f>
        <v/>
      </c>
      <c r="Z31" s="73" t="str">
        <f ca="1">IF(CELL("type",Z$27)="v",(Z15*'TCO Calculator Inputs'!$E$52),"")</f>
        <v/>
      </c>
      <c r="AA31" s="73" t="str">
        <f ca="1">IF(CELL("type",AA$27)="v",(AA15*'TCO Calculator Inputs'!$E$52),"")</f>
        <v/>
      </c>
      <c r="AB31" s="73" t="str">
        <f ca="1">IF(CELL("type",AB$27)="v",(AB15*'TCO Calculator Inputs'!$E$52),"")</f>
        <v/>
      </c>
      <c r="AC31" s="73" t="str">
        <f ca="1">IF(CELL("type",AC$27)="v",(AC15*'TCO Calculator Inputs'!$E$52),"")</f>
        <v/>
      </c>
      <c r="AD31" s="73" t="str">
        <f ca="1">IF(CELL("type",AD$27)="v",(AD15*'TCO Calculator Inputs'!$E$52),"")</f>
        <v/>
      </c>
      <c r="AE31" s="73" t="str">
        <f ca="1">IF(CELL("type",AE$27)="v",(AE15*'TCO Calculator Inputs'!$E$52),"")</f>
        <v/>
      </c>
      <c r="AF31" s="73" t="str">
        <f ca="1">IF(CELL("type",AF$27)="v",(AF15*'TCO Calculator Inputs'!$E$52),"")</f>
        <v/>
      </c>
      <c r="AG31" s="73" t="str">
        <f ca="1">IF(CELL("type",AG$27)="v",(AG15*'TCO Calculator Inputs'!$E$52),"")</f>
        <v/>
      </c>
    </row>
    <row r="32" spans="2:33" x14ac:dyDescent="0.25">
      <c r="B32" s="46" t="s">
        <v>101</v>
      </c>
      <c r="C32" s="74"/>
      <c r="D32" s="73">
        <f ca="1">IF(CELL("type",D$27)="v",(-('TCO Calculator Inputs'!$E$53)*(1+'TCO Calculator Inputs'!$E$54)^D$27)*'TCO Calculator Inputs'!$E$20,"")</f>
        <v>-3150</v>
      </c>
      <c r="E32" s="73">
        <f ca="1">IF(CELL("type",E$27)="v",(-('TCO Calculator Inputs'!$E$53)*(1+'TCO Calculator Inputs'!$E$54)^E$27)*'TCO Calculator Inputs'!$E$20,"")</f>
        <v>-3307.5</v>
      </c>
      <c r="F32" s="73">
        <f ca="1">IF(CELL("type",F$27)="v",(-('TCO Calculator Inputs'!$E$53)*(1+'TCO Calculator Inputs'!$E$54)^F$27)*'TCO Calculator Inputs'!$E$20,"")</f>
        <v>-3472.8750000000005</v>
      </c>
      <c r="G32" s="73">
        <f ca="1">IF(CELL("type",G$27)="v",(-('TCO Calculator Inputs'!$E$53)*(1+'TCO Calculator Inputs'!$E$54)^G$27)*'TCO Calculator Inputs'!$E$20,"")</f>
        <v>-3646.5187500000002</v>
      </c>
      <c r="H32" s="73">
        <f ca="1">IF(CELL("type",H$27)="v",(-('TCO Calculator Inputs'!$E$53)*(1+'TCO Calculator Inputs'!$E$54)^H$27)*'TCO Calculator Inputs'!$E$20,"")</f>
        <v>-3828.8446875000004</v>
      </c>
      <c r="I32" s="73">
        <f ca="1">IF(CELL("type",I$27)="v",(-('TCO Calculator Inputs'!$E$53)*(1+'TCO Calculator Inputs'!$E$54)^I$27)*'TCO Calculator Inputs'!$E$20,"")</f>
        <v>-4020.2869218749997</v>
      </c>
      <c r="J32" s="73">
        <f ca="1">IF(CELL("type",J$27)="v",(-('TCO Calculator Inputs'!$E$53)*(1+'TCO Calculator Inputs'!$E$54)^J$27)*'TCO Calculator Inputs'!$E$20,"")</f>
        <v>-4221.3012679687508</v>
      </c>
      <c r="K32" s="73">
        <f ca="1">IF(CELL("type",K$27)="v",(-('TCO Calculator Inputs'!$E$53)*(1+'TCO Calculator Inputs'!$E$54)^K$27)*'TCO Calculator Inputs'!$E$20,"")</f>
        <v>-4432.3663313671877</v>
      </c>
      <c r="L32" s="73">
        <f ca="1">IF(CELL("type",L$27)="v",(-('TCO Calculator Inputs'!$E$53)*(1+'TCO Calculator Inputs'!$E$54)^L$27)*'TCO Calculator Inputs'!$E$20,"")</f>
        <v>-4653.9846479355474</v>
      </c>
      <c r="M32" s="73">
        <f ca="1">IF(CELL("type",M$27)="v",(-('TCO Calculator Inputs'!$E$53)*(1+'TCO Calculator Inputs'!$E$54)^M$27)*'TCO Calculator Inputs'!$E$20,"")</f>
        <v>-4886.6838803323244</v>
      </c>
      <c r="N32" s="73" t="str">
        <f ca="1">IF(CELL("type",N$27)="v",(-('TCO Calculator Inputs'!$E$53)*(1+'TCO Calculator Inputs'!$E$54)^N$27)*'TCO Calculator Inputs'!$E$20,"")</f>
        <v/>
      </c>
      <c r="O32" s="73" t="str">
        <f ca="1">IF(CELL("type",O$27)="v",(-('TCO Calculator Inputs'!$E$53)*(1+'TCO Calculator Inputs'!$E$54)^O$27)*'TCO Calculator Inputs'!$E$20,"")</f>
        <v/>
      </c>
      <c r="P32" s="73" t="str">
        <f ca="1">IF(CELL("type",P$27)="v",(-('TCO Calculator Inputs'!$E$53)*(1+'TCO Calculator Inputs'!$E$54)^P$27)*'TCO Calculator Inputs'!$E$20,"")</f>
        <v/>
      </c>
      <c r="Q32" s="73" t="str">
        <f ca="1">IF(CELL("type",Q$27)="v",(-('TCO Calculator Inputs'!$E$53)*(1+'TCO Calculator Inputs'!$E$54)^Q$27)*'TCO Calculator Inputs'!$E$20,"")</f>
        <v/>
      </c>
      <c r="R32" s="73" t="str">
        <f ca="1">IF(CELL("type",R$27)="v",(-('TCO Calculator Inputs'!$E$53)*(1+'TCO Calculator Inputs'!$E$54)^R$27)*'TCO Calculator Inputs'!$E$20,"")</f>
        <v/>
      </c>
      <c r="S32" s="73" t="str">
        <f ca="1">IF(CELL("type",S$27)="v",(-('TCO Calculator Inputs'!$E$53)*(1+'TCO Calculator Inputs'!$E$54)^S$27)*'TCO Calculator Inputs'!$E$20,"")</f>
        <v/>
      </c>
      <c r="T32" s="73" t="str">
        <f ca="1">IF(CELL("type",T$27)="v",(-('TCO Calculator Inputs'!$E$53)*(1+'TCO Calculator Inputs'!$E$54)^T$27)*'TCO Calculator Inputs'!$E$20,"")</f>
        <v/>
      </c>
      <c r="U32" s="73" t="str">
        <f ca="1">IF(CELL("type",U$27)="v",(-('TCO Calculator Inputs'!$E$53)*(1+'TCO Calculator Inputs'!$E$54)^U$27)*'TCO Calculator Inputs'!$E$20,"")</f>
        <v/>
      </c>
      <c r="V32" s="73" t="str">
        <f ca="1">IF(CELL("type",V$27)="v",(-('TCO Calculator Inputs'!$E$53)*(1+'TCO Calculator Inputs'!$E$54)^V$27)*'TCO Calculator Inputs'!$E$20,"")</f>
        <v/>
      </c>
      <c r="W32" s="73" t="str">
        <f ca="1">IF(CELL("type",W$27)="v",(-('TCO Calculator Inputs'!$E$53)*(1+'TCO Calculator Inputs'!$E$54)^W$27)*'TCO Calculator Inputs'!$E$20,"")</f>
        <v/>
      </c>
      <c r="X32" s="73" t="str">
        <f ca="1">IF(CELL("type",X$27)="v",(-('TCO Calculator Inputs'!$E$53)*(1+'TCO Calculator Inputs'!$E$54)^X$27)*'TCO Calculator Inputs'!$E$20,"")</f>
        <v/>
      </c>
      <c r="Y32" s="73" t="str">
        <f ca="1">IF(CELL("type",Y$27)="v",(-('TCO Calculator Inputs'!$E$53)*(1+'TCO Calculator Inputs'!$E$54)^Y$27)*'TCO Calculator Inputs'!$E$20,"")</f>
        <v/>
      </c>
      <c r="Z32" s="73" t="str">
        <f ca="1">IF(CELL("type",Z$27)="v",(-('TCO Calculator Inputs'!$E$53)*(1+'TCO Calculator Inputs'!$E$54)^Z$27)*'TCO Calculator Inputs'!$E$20,"")</f>
        <v/>
      </c>
      <c r="AA32" s="73" t="str">
        <f ca="1">IF(CELL("type",AA$27)="v",(-('TCO Calculator Inputs'!$E$53)*(1+'TCO Calculator Inputs'!$E$54)^AA$27)*'TCO Calculator Inputs'!$E$20,"")</f>
        <v/>
      </c>
      <c r="AB32" s="73" t="str">
        <f ca="1">IF(CELL("type",AB$27)="v",(-('TCO Calculator Inputs'!$E$53)*(1+'TCO Calculator Inputs'!$E$54)^AB$27)*'TCO Calculator Inputs'!$E$20,"")</f>
        <v/>
      </c>
      <c r="AC32" s="73" t="str">
        <f ca="1">IF(CELL("type",AC$27)="v",(-('TCO Calculator Inputs'!$E$53)*(1+'TCO Calculator Inputs'!$E$54)^AC$27)*'TCO Calculator Inputs'!$E$20,"")</f>
        <v/>
      </c>
      <c r="AD32" s="73" t="str">
        <f ca="1">IF(CELL("type",AD$27)="v",(-('TCO Calculator Inputs'!$E$53)*(1+'TCO Calculator Inputs'!$E$54)^AD$27)*'TCO Calculator Inputs'!$E$20,"")</f>
        <v/>
      </c>
      <c r="AE32" s="73" t="str">
        <f ca="1">IF(CELL("type",AE$27)="v",(-('TCO Calculator Inputs'!$E$53)*(1+'TCO Calculator Inputs'!$E$54)^AE$27)*'TCO Calculator Inputs'!$E$20,"")</f>
        <v/>
      </c>
      <c r="AF32" s="73" t="str">
        <f ca="1">IF(CELL("type",AF$27)="v",(-('TCO Calculator Inputs'!$E$53)*(1+'TCO Calculator Inputs'!$E$54)^AF$27)*'TCO Calculator Inputs'!$E$20,"")</f>
        <v/>
      </c>
      <c r="AG32" s="73" t="str">
        <f ca="1">IF(CELL("type",AG$27)="v",(-('TCO Calculator Inputs'!$E$53)*(1+'TCO Calculator Inputs'!$E$54)^AG$27)*'TCO Calculator Inputs'!$E$20,"")</f>
        <v/>
      </c>
    </row>
    <row r="33" spans="2:33" x14ac:dyDescent="0.25">
      <c r="B33" s="46" t="s">
        <v>126</v>
      </c>
      <c r="C33" s="74"/>
      <c r="D33" s="73" t="str">
        <f ca="1">IF(CELL("type",D$11)="v",IF('TCO Calculator Inputs'!$E$55=1,IF('TCO Calculator Inputs'!$E$30=2,(-('TCO Calculator Inputs'!$E$16/'TCO Calculator Inputs'!$E$29)*(('TCO Calculator Inputs'!$E$31)*((1+'TCO Calculator Inputs'!$E$32))^D$11))*(0.244/'TCO Calculator Inputs'!$E$31),(-('TCO Calculator Inputs'!$E$16/'TCO Calculator Inputs'!$E$29)*(('TCO Calculator Inputs'!$E$31)*((1+'TCO Calculator Inputs'!$E$32))^D$11))*(0.184/'TCO Calculator Inputs'!$E$31)),""),"")</f>
        <v/>
      </c>
      <c r="E33" s="73" t="str">
        <f ca="1">IF(CELL("type",E$11)="v",IF('TCO Calculator Inputs'!$E$55=1,IF('TCO Calculator Inputs'!$E$30=2,(-('TCO Calculator Inputs'!$E$16/'TCO Calculator Inputs'!$E$29)*(('TCO Calculator Inputs'!$E$31)*((1+'TCO Calculator Inputs'!$E$32))^E$11))*(0.244/'TCO Calculator Inputs'!$E$31),(-('TCO Calculator Inputs'!$E$16/'TCO Calculator Inputs'!$E$29)*(('TCO Calculator Inputs'!$E$31)*((1+'TCO Calculator Inputs'!$E$32))^E$11))*(0.184/'TCO Calculator Inputs'!$E$31)),""),"")</f>
        <v/>
      </c>
      <c r="F33" s="73" t="str">
        <f ca="1">IF(CELL("type",F$11)="v",IF('TCO Calculator Inputs'!$E$55=1,IF('TCO Calculator Inputs'!$E$30=2,(-('TCO Calculator Inputs'!$E$16/'TCO Calculator Inputs'!$E$29)*(('TCO Calculator Inputs'!$E$31)*((1+'TCO Calculator Inputs'!$E$32))^F$11))*(0.244/'TCO Calculator Inputs'!$E$31),(-('TCO Calculator Inputs'!$E$16/'TCO Calculator Inputs'!$E$29)*(('TCO Calculator Inputs'!$E$31)*((1+'TCO Calculator Inputs'!$E$32))^F$11))*(0.184/'TCO Calculator Inputs'!$E$31)),""),"")</f>
        <v/>
      </c>
      <c r="G33" s="73" t="str">
        <f ca="1">IF(CELL("type",G$11)="v",IF('TCO Calculator Inputs'!$E$55=1,IF('TCO Calculator Inputs'!$E$30=2,(-('TCO Calculator Inputs'!$E$16/'TCO Calculator Inputs'!$E$29)*(('TCO Calculator Inputs'!$E$31)*((1+'TCO Calculator Inputs'!$E$32))^G$11))*(0.244/'TCO Calculator Inputs'!$E$31),(-('TCO Calculator Inputs'!$E$16/'TCO Calculator Inputs'!$E$29)*(('TCO Calculator Inputs'!$E$31)*((1+'TCO Calculator Inputs'!$E$32))^G$11))*(0.184/'TCO Calculator Inputs'!$E$31)),""),"")</f>
        <v/>
      </c>
      <c r="H33" s="73" t="str">
        <f ca="1">IF(CELL("type",H$11)="v",IF('TCO Calculator Inputs'!$E$55=1,IF('TCO Calculator Inputs'!$E$30=2,(-('TCO Calculator Inputs'!$E$16/'TCO Calculator Inputs'!$E$29)*(('TCO Calculator Inputs'!$E$31)*((1+'TCO Calculator Inputs'!$E$32))^H$11))*(0.244/'TCO Calculator Inputs'!$E$31),(-('TCO Calculator Inputs'!$E$16/'TCO Calculator Inputs'!$E$29)*(('TCO Calculator Inputs'!$E$31)*((1+'TCO Calculator Inputs'!$E$32))^H$11))*(0.184/'TCO Calculator Inputs'!$E$31)),""),"")</f>
        <v/>
      </c>
      <c r="I33" s="73" t="str">
        <f ca="1">IF(CELL("type",I$11)="v",IF('TCO Calculator Inputs'!$E$55=1,IF('TCO Calculator Inputs'!$E$30=2,(-('TCO Calculator Inputs'!$E$16/'TCO Calculator Inputs'!$E$29)*(('TCO Calculator Inputs'!$E$31)*((1+'TCO Calculator Inputs'!$E$32))^I$11))*(0.244/'TCO Calculator Inputs'!$E$31),(-('TCO Calculator Inputs'!$E$16/'TCO Calculator Inputs'!$E$29)*(('TCO Calculator Inputs'!$E$31)*((1+'TCO Calculator Inputs'!$E$32))^I$11))*(0.184/'TCO Calculator Inputs'!$E$31)),""),"")</f>
        <v/>
      </c>
      <c r="J33" s="73" t="str">
        <f ca="1">IF(CELL("type",J$11)="v",IF('TCO Calculator Inputs'!$E$55=1,IF('TCO Calculator Inputs'!$E$30=2,(-('TCO Calculator Inputs'!$E$16/'TCO Calculator Inputs'!$E$29)*(('TCO Calculator Inputs'!$E$31)*((1+'TCO Calculator Inputs'!$E$32))^J$11))*(0.244/'TCO Calculator Inputs'!$E$31),(-('TCO Calculator Inputs'!$E$16/'TCO Calculator Inputs'!$E$29)*(('TCO Calculator Inputs'!$E$31)*((1+'TCO Calculator Inputs'!$E$32))^J$11))*(0.184/'TCO Calculator Inputs'!$E$31)),""),"")</f>
        <v/>
      </c>
      <c r="K33" s="73" t="str">
        <f ca="1">IF(CELL("type",K$11)="v",IF('TCO Calculator Inputs'!$E$55=1,IF('TCO Calculator Inputs'!$E$30=2,(-('TCO Calculator Inputs'!$E$16/'TCO Calculator Inputs'!$E$29)*(('TCO Calculator Inputs'!$E$31)*((1+'TCO Calculator Inputs'!$E$32))^K$11))*(0.244/'TCO Calculator Inputs'!$E$31),(-('TCO Calculator Inputs'!$E$16/'TCO Calculator Inputs'!$E$29)*(('TCO Calculator Inputs'!$E$31)*((1+'TCO Calculator Inputs'!$E$32))^K$11))*(0.184/'TCO Calculator Inputs'!$E$31)),""),"")</f>
        <v/>
      </c>
      <c r="L33" s="73" t="str">
        <f ca="1">IF(CELL("type",L$11)="v",IF('TCO Calculator Inputs'!$E$55=1,IF('TCO Calculator Inputs'!$E$30=2,(-('TCO Calculator Inputs'!$E$16/'TCO Calculator Inputs'!$E$29)*(('TCO Calculator Inputs'!$E$31)*((1+'TCO Calculator Inputs'!$E$32))^L$11))*(0.244/'TCO Calculator Inputs'!$E$31),(-('TCO Calculator Inputs'!$E$16/'TCO Calculator Inputs'!$E$29)*(('TCO Calculator Inputs'!$E$31)*((1+'TCO Calculator Inputs'!$E$32))^L$11))*(0.184/'TCO Calculator Inputs'!$E$31)),""),"")</f>
        <v/>
      </c>
      <c r="M33" s="73" t="str">
        <f ca="1">IF(CELL("type",M$11)="v",IF('TCO Calculator Inputs'!$E$55=1,IF('TCO Calculator Inputs'!$E$30=2,(-('TCO Calculator Inputs'!$E$16/'TCO Calculator Inputs'!$E$29)*(('TCO Calculator Inputs'!$E$31)*((1+'TCO Calculator Inputs'!$E$32))^M$11))*(0.244/'TCO Calculator Inputs'!$E$31),(-('TCO Calculator Inputs'!$E$16/'TCO Calculator Inputs'!$E$29)*(('TCO Calculator Inputs'!$E$31)*((1+'TCO Calculator Inputs'!$E$32))^M$11))*(0.184/'TCO Calculator Inputs'!$E$31)),""),"")</f>
        <v/>
      </c>
      <c r="N33" s="73" t="str">
        <f ca="1">IF(CELL("type",N$11)="v",IF('TCO Calculator Inputs'!$E$55=1,IF('TCO Calculator Inputs'!$E$30=2,(-('TCO Calculator Inputs'!$E$16/'TCO Calculator Inputs'!$E$29)*(('TCO Calculator Inputs'!$E$31)*((1+'TCO Calculator Inputs'!$E$32))^N$11))*(0.244/'TCO Calculator Inputs'!$E$31),(-('TCO Calculator Inputs'!$E$16/'TCO Calculator Inputs'!$E$29)*(('TCO Calculator Inputs'!$E$31)*((1+'TCO Calculator Inputs'!$E$32))^N$11))*(0.184/'TCO Calculator Inputs'!$E$31)),""),"")</f>
        <v/>
      </c>
      <c r="O33" s="73" t="str">
        <f ca="1">IF(CELL("type",O$11)="v",IF('TCO Calculator Inputs'!$E$55=1,IF('TCO Calculator Inputs'!$E$30=2,(-('TCO Calculator Inputs'!$E$16/'TCO Calculator Inputs'!$E$29)*(('TCO Calculator Inputs'!$E$31)*((1+'TCO Calculator Inputs'!$E$32))^O$11))*(0.244/'TCO Calculator Inputs'!$E$31),(-('TCO Calculator Inputs'!$E$16/'TCO Calculator Inputs'!$E$29)*(('TCO Calculator Inputs'!$E$31)*((1+'TCO Calculator Inputs'!$E$32))^O$11))*(0.184/'TCO Calculator Inputs'!$E$31)),""),"")</f>
        <v/>
      </c>
      <c r="P33" s="73" t="str">
        <f ca="1">IF(CELL("type",P$11)="v",IF('TCO Calculator Inputs'!$E$55=1,IF('TCO Calculator Inputs'!$E$30=2,(-('TCO Calculator Inputs'!$E$16/'TCO Calculator Inputs'!$E$29)*(('TCO Calculator Inputs'!$E$31)*((1+'TCO Calculator Inputs'!$E$32))^P$11))*(0.244/'TCO Calculator Inputs'!$E$31),(-('TCO Calculator Inputs'!$E$16/'TCO Calculator Inputs'!$E$29)*(('TCO Calculator Inputs'!$E$31)*((1+'TCO Calculator Inputs'!$E$32))^P$11))*(0.184/'TCO Calculator Inputs'!$E$31)),""),"")</f>
        <v/>
      </c>
      <c r="Q33" s="73" t="str">
        <f ca="1">IF(CELL("type",Q$11)="v",IF('TCO Calculator Inputs'!$E$55=1,IF('TCO Calculator Inputs'!$E$30=2,(-('TCO Calculator Inputs'!$E$16/'TCO Calculator Inputs'!$E$29)*(('TCO Calculator Inputs'!$E$31)*((1+'TCO Calculator Inputs'!$E$32))^Q$11))*(0.244/'TCO Calculator Inputs'!$E$31),(-('TCO Calculator Inputs'!$E$16/'TCO Calculator Inputs'!$E$29)*(('TCO Calculator Inputs'!$E$31)*((1+'TCO Calculator Inputs'!$E$32))^Q$11))*(0.184/'TCO Calculator Inputs'!$E$31)),""),"")</f>
        <v/>
      </c>
      <c r="R33" s="73" t="str">
        <f ca="1">IF(CELL("type",R$11)="v",IF('TCO Calculator Inputs'!$E$55=1,IF('TCO Calculator Inputs'!$E$30=2,(-('TCO Calculator Inputs'!$E$16/'TCO Calculator Inputs'!$E$29)*(('TCO Calculator Inputs'!$E$31)*((1+'TCO Calculator Inputs'!$E$32))^R$11))*(0.244/'TCO Calculator Inputs'!$E$31),(-('TCO Calculator Inputs'!$E$16/'TCO Calculator Inputs'!$E$29)*(('TCO Calculator Inputs'!$E$31)*((1+'TCO Calculator Inputs'!$E$32))^R$11))*(0.184/'TCO Calculator Inputs'!$E$31)),""),"")</f>
        <v/>
      </c>
      <c r="S33" s="73" t="str">
        <f ca="1">IF(CELL("type",S$11)="v",IF('TCO Calculator Inputs'!$E$55=1,IF('TCO Calculator Inputs'!$E$30=2,(-('TCO Calculator Inputs'!$E$16/'TCO Calculator Inputs'!$E$29)*(('TCO Calculator Inputs'!$E$31)*((1+'TCO Calculator Inputs'!$E$32))^S$11))*(0.244/'TCO Calculator Inputs'!$E$31),(-('TCO Calculator Inputs'!$E$16/'TCO Calculator Inputs'!$E$29)*(('TCO Calculator Inputs'!$E$31)*((1+'TCO Calculator Inputs'!$E$32))^S$11))*(0.184/'TCO Calculator Inputs'!$E$31)),""),"")</f>
        <v/>
      </c>
      <c r="T33" s="73" t="str">
        <f ca="1">IF(CELL("type",T$11)="v",IF('TCO Calculator Inputs'!$E$55=1,IF('TCO Calculator Inputs'!$E$30=2,(-('TCO Calculator Inputs'!$E$16/'TCO Calculator Inputs'!$E$29)*(('TCO Calculator Inputs'!$E$31)*((1+'TCO Calculator Inputs'!$E$32))^T$11))*(0.244/'TCO Calculator Inputs'!$E$31),(-('TCO Calculator Inputs'!$E$16/'TCO Calculator Inputs'!$E$29)*(('TCO Calculator Inputs'!$E$31)*((1+'TCO Calculator Inputs'!$E$32))^T$11))*(0.184/'TCO Calculator Inputs'!$E$31)),""),"")</f>
        <v/>
      </c>
      <c r="U33" s="73" t="str">
        <f ca="1">IF(CELL("type",U$11)="v",IF('TCO Calculator Inputs'!$E$55=1,IF('TCO Calculator Inputs'!$E$30=2,(-('TCO Calculator Inputs'!$E$16/'TCO Calculator Inputs'!$E$29)*(('TCO Calculator Inputs'!$E$31)*((1+'TCO Calculator Inputs'!$E$32))^U$11))*(0.244/'TCO Calculator Inputs'!$E$31),(-('TCO Calculator Inputs'!$E$16/'TCO Calculator Inputs'!$E$29)*(('TCO Calculator Inputs'!$E$31)*((1+'TCO Calculator Inputs'!$E$32))^U$11))*(0.184/'TCO Calculator Inputs'!$E$31)),""),"")</f>
        <v/>
      </c>
      <c r="V33" s="73" t="str">
        <f ca="1">IF(CELL("type",V$11)="v",IF('TCO Calculator Inputs'!$E$55=1,IF('TCO Calculator Inputs'!$E$30=2,(-('TCO Calculator Inputs'!$E$16/'TCO Calculator Inputs'!$E$29)*(('TCO Calculator Inputs'!$E$31)*((1+'TCO Calculator Inputs'!$E$32))^V$11))*(0.244/'TCO Calculator Inputs'!$E$31),(-('TCO Calculator Inputs'!$E$16/'TCO Calculator Inputs'!$E$29)*(('TCO Calculator Inputs'!$E$31)*((1+'TCO Calculator Inputs'!$E$32))^V$11))*(0.184/'TCO Calculator Inputs'!$E$31)),""),"")</f>
        <v/>
      </c>
      <c r="W33" s="73" t="str">
        <f ca="1">IF(CELL("type",W$11)="v",IF('TCO Calculator Inputs'!$E$55=1,IF('TCO Calculator Inputs'!$E$30=2,(-('TCO Calculator Inputs'!$E$16/'TCO Calculator Inputs'!$E$29)*(('TCO Calculator Inputs'!$E$31)*((1+'TCO Calculator Inputs'!$E$32))^W$11))*(0.244/'TCO Calculator Inputs'!$E$31),(-('TCO Calculator Inputs'!$E$16/'TCO Calculator Inputs'!$E$29)*(('TCO Calculator Inputs'!$E$31)*((1+'TCO Calculator Inputs'!$E$32))^W$11))*(0.184/'TCO Calculator Inputs'!$E$31)),""),"")</f>
        <v/>
      </c>
      <c r="X33" s="73" t="str">
        <f ca="1">IF(CELL("type",X$11)="v",IF('TCO Calculator Inputs'!$E$55=1,IF('TCO Calculator Inputs'!$E$30=2,(-('TCO Calculator Inputs'!$E$16/'TCO Calculator Inputs'!$E$29)*(('TCO Calculator Inputs'!$E$31)*((1+'TCO Calculator Inputs'!$E$32))^X$11))*(0.244/'TCO Calculator Inputs'!$E$31),(-('TCO Calculator Inputs'!$E$16/'TCO Calculator Inputs'!$E$29)*(('TCO Calculator Inputs'!$E$31)*((1+'TCO Calculator Inputs'!$E$32))^X$11))*(0.184/'TCO Calculator Inputs'!$E$31)),""),"")</f>
        <v/>
      </c>
      <c r="Y33" s="73" t="str">
        <f ca="1">IF(CELL("type",Y$11)="v",IF('TCO Calculator Inputs'!$E$55=1,IF('TCO Calculator Inputs'!$E$30=2,(-('TCO Calculator Inputs'!$E$16/'TCO Calculator Inputs'!$E$29)*(('TCO Calculator Inputs'!$E$31)*((1+'TCO Calculator Inputs'!$E$32))^Y$11))*(0.244/'TCO Calculator Inputs'!$E$31),(-('TCO Calculator Inputs'!$E$16/'TCO Calculator Inputs'!$E$29)*(('TCO Calculator Inputs'!$E$31)*((1+'TCO Calculator Inputs'!$E$32))^Y$11))*(0.184/'TCO Calculator Inputs'!$E$31)),""),"")</f>
        <v/>
      </c>
      <c r="Z33" s="73" t="str">
        <f ca="1">IF(CELL("type",Z$11)="v",IF('TCO Calculator Inputs'!$E$55=1,IF('TCO Calculator Inputs'!$E$30=2,(-('TCO Calculator Inputs'!$E$16/'TCO Calculator Inputs'!$E$29)*(('TCO Calculator Inputs'!$E$31)*((1+'TCO Calculator Inputs'!$E$32))^Z$11))*(0.244/'TCO Calculator Inputs'!$E$31),(-('TCO Calculator Inputs'!$E$16/'TCO Calculator Inputs'!$E$29)*(('TCO Calculator Inputs'!$E$31)*((1+'TCO Calculator Inputs'!$E$32))^Z$11))*(0.184/'TCO Calculator Inputs'!$E$31)),""),"")</f>
        <v/>
      </c>
      <c r="AA33" s="73" t="str">
        <f ca="1">IF(CELL("type",AA$11)="v",IF('TCO Calculator Inputs'!$E$55=1,IF('TCO Calculator Inputs'!$E$30=2,(-('TCO Calculator Inputs'!$E$16/'TCO Calculator Inputs'!$E$29)*(('TCO Calculator Inputs'!$E$31)*((1+'TCO Calculator Inputs'!$E$32))^AA$11))*(0.244/'TCO Calculator Inputs'!$E$31),(-('TCO Calculator Inputs'!$E$16/'TCO Calculator Inputs'!$E$29)*(('TCO Calculator Inputs'!$E$31)*((1+'TCO Calculator Inputs'!$E$32))^AA$11))*(0.184/'TCO Calculator Inputs'!$E$31)),""),"")</f>
        <v/>
      </c>
      <c r="AB33" s="73" t="str">
        <f ca="1">IF(CELL("type",AB$11)="v",IF('TCO Calculator Inputs'!$E$55=1,IF('TCO Calculator Inputs'!$E$30=2,(-('TCO Calculator Inputs'!$E$16/'TCO Calculator Inputs'!$E$29)*(('TCO Calculator Inputs'!$E$31)*((1+'TCO Calculator Inputs'!$E$32))^AB$11))*(0.244/'TCO Calculator Inputs'!$E$31),(-('TCO Calculator Inputs'!$E$16/'TCO Calculator Inputs'!$E$29)*(('TCO Calculator Inputs'!$E$31)*((1+'TCO Calculator Inputs'!$E$32))^AB$11))*(0.184/'TCO Calculator Inputs'!$E$31)),""),"")</f>
        <v/>
      </c>
      <c r="AC33" s="73" t="str">
        <f ca="1">IF(CELL("type",AC$11)="v",IF('TCO Calculator Inputs'!$E$55=1,IF('TCO Calculator Inputs'!$E$30=2,(-('TCO Calculator Inputs'!$E$16/'TCO Calculator Inputs'!$E$29)*(('TCO Calculator Inputs'!$E$31)*((1+'TCO Calculator Inputs'!$E$32))^AC$11))*(0.244/'TCO Calculator Inputs'!$E$31),(-('TCO Calculator Inputs'!$E$16/'TCO Calculator Inputs'!$E$29)*(('TCO Calculator Inputs'!$E$31)*((1+'TCO Calculator Inputs'!$E$32))^AC$11))*(0.184/'TCO Calculator Inputs'!$E$31)),""),"")</f>
        <v/>
      </c>
      <c r="AD33" s="73" t="str">
        <f ca="1">IF(CELL("type",AD$11)="v",IF('TCO Calculator Inputs'!$E$55=1,IF('TCO Calculator Inputs'!$E$30=2,(-('TCO Calculator Inputs'!$E$16/'TCO Calculator Inputs'!$E$29)*(('TCO Calculator Inputs'!$E$31)*((1+'TCO Calculator Inputs'!$E$32))^AD$11))*(0.244/'TCO Calculator Inputs'!$E$31),(-('TCO Calculator Inputs'!$E$16/'TCO Calculator Inputs'!$E$29)*(('TCO Calculator Inputs'!$E$31)*((1+'TCO Calculator Inputs'!$E$32))^AD$11))*(0.184/'TCO Calculator Inputs'!$E$31)),""),"")</f>
        <v/>
      </c>
      <c r="AE33" s="73" t="str">
        <f ca="1">IF(CELL("type",AE$11)="v",IF('TCO Calculator Inputs'!$E$55=1,IF('TCO Calculator Inputs'!$E$30=2,(-('TCO Calculator Inputs'!$E$16/'TCO Calculator Inputs'!$E$29)*(('TCO Calculator Inputs'!$E$31)*((1+'TCO Calculator Inputs'!$E$32))^AE$11))*(0.244/'TCO Calculator Inputs'!$E$31),(-('TCO Calculator Inputs'!$E$16/'TCO Calculator Inputs'!$E$29)*(('TCO Calculator Inputs'!$E$31)*((1+'TCO Calculator Inputs'!$E$32))^AE$11))*(0.184/'TCO Calculator Inputs'!$E$31)),""),"")</f>
        <v/>
      </c>
      <c r="AF33" s="73" t="str">
        <f ca="1">IF(CELL("type",AF$11)="v",IF('TCO Calculator Inputs'!$E$55=1,IF('TCO Calculator Inputs'!$E$30=2,(-('TCO Calculator Inputs'!$E$16/'TCO Calculator Inputs'!$E$29)*(('TCO Calculator Inputs'!$E$31)*((1+'TCO Calculator Inputs'!$E$32))^AF$11))*(0.244/'TCO Calculator Inputs'!$E$31),(-('TCO Calculator Inputs'!$E$16/'TCO Calculator Inputs'!$E$29)*(('TCO Calculator Inputs'!$E$31)*((1+'TCO Calculator Inputs'!$E$32))^AF$11))*(0.184/'TCO Calculator Inputs'!$E$31)),""),"")</f>
        <v/>
      </c>
      <c r="AG33" s="73" t="str">
        <f ca="1">IF(CELL("type",AG$11)="v",IF('TCO Calculator Inputs'!$E$55=1,IF('TCO Calculator Inputs'!$E$30=2,(-('TCO Calculator Inputs'!$E$16/'TCO Calculator Inputs'!$E$29)*(('TCO Calculator Inputs'!$E$31)*((1+'TCO Calculator Inputs'!$E$32))^AG$11))*(0.244/'TCO Calculator Inputs'!$E$31),(-('TCO Calculator Inputs'!$E$16/'TCO Calculator Inputs'!$E$29)*(('TCO Calculator Inputs'!$E$31)*((1+'TCO Calculator Inputs'!$E$32))^AG$11))*(0.184/'TCO Calculator Inputs'!$E$31)),""),"")</f>
        <v/>
      </c>
    </row>
    <row r="34" spans="2:33" x14ac:dyDescent="0.25">
      <c r="B34" s="46" t="s">
        <v>103</v>
      </c>
      <c r="C34" s="74"/>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2:33" x14ac:dyDescent="0.25">
      <c r="B35" s="46" t="s">
        <v>104</v>
      </c>
      <c r="C35" s="74"/>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2:33" x14ac:dyDescent="0.25">
      <c r="B36" s="46" t="s">
        <v>102</v>
      </c>
      <c r="C36" s="71" t="str">
        <f ca="1">IF(CELL("type",C$27)="v",(IF('TCO Calculator Inputs'!$E$19-'TCO Calculator Outputs'!C$27&gt;0,"",'TCO Calculator Inputs'!$E$51*'TCO Calculator Inputs'!$E$47)),"")</f>
        <v/>
      </c>
      <c r="D36" s="71" t="str">
        <f ca="1">IF(CELL("type",D$27)="v",(IF('TCO Calculator Inputs'!$E$19-'TCO Calculator Outputs'!D$27&gt;0,"",'TCO Calculator Inputs'!$E$51*'TCO Calculator Inputs'!$E$49*'TCO Calculator Inputs'!$E$20)),"")</f>
        <v/>
      </c>
      <c r="E36" s="71" t="str">
        <f ca="1">IF(CELL("type",E$27)="v",(IF('TCO Calculator Inputs'!$E$19-'TCO Calculator Outputs'!E$27&gt;0,"",'TCO Calculator Inputs'!$E$51*'TCO Calculator Inputs'!$E$49*'TCO Calculator Inputs'!$E$20)),"")</f>
        <v/>
      </c>
      <c r="F36" s="71" t="str">
        <f ca="1">IF(CELL("type",F$27)="v",(IF('TCO Calculator Inputs'!$E$19-'TCO Calculator Outputs'!F$27&gt;0,"",'TCO Calculator Inputs'!$E$51*'TCO Calculator Inputs'!$E$49*'TCO Calculator Inputs'!$E$20)),"")</f>
        <v/>
      </c>
      <c r="G36" s="71" t="str">
        <f ca="1">IF(CELL("type",G$27)="v",(IF('TCO Calculator Inputs'!$E$19-'TCO Calculator Outputs'!G$27&gt;0,"",'TCO Calculator Inputs'!$E$51*'TCO Calculator Inputs'!$E$49*'TCO Calculator Inputs'!$E$20)),"")</f>
        <v/>
      </c>
      <c r="H36" s="71" t="str">
        <f ca="1">IF(CELL("type",H$27)="v",(IF('TCO Calculator Inputs'!$E$19-'TCO Calculator Outputs'!H$27&gt;0,"",'TCO Calculator Inputs'!$E$51*'TCO Calculator Inputs'!$E$49*'TCO Calculator Inputs'!$E$20)),"")</f>
        <v/>
      </c>
      <c r="I36" s="71" t="str">
        <f ca="1">IF(CELL("type",I$27)="v",(IF('TCO Calculator Inputs'!$E$19-'TCO Calculator Outputs'!I$27&gt;0,"",'TCO Calculator Inputs'!$E$51*'TCO Calculator Inputs'!$E$49*'TCO Calculator Inputs'!$E$20)),"")</f>
        <v/>
      </c>
      <c r="J36" s="71" t="str">
        <f ca="1">IF(CELL("type",J$27)="v",(IF('TCO Calculator Inputs'!$E$19-'TCO Calculator Outputs'!J$27&gt;0,"",'TCO Calculator Inputs'!$E$51*'TCO Calculator Inputs'!$E$49*'TCO Calculator Inputs'!$E$20)),"")</f>
        <v/>
      </c>
      <c r="K36" s="71" t="str">
        <f ca="1">IF(CELL("type",K$27)="v",(IF('TCO Calculator Inputs'!$E$19-'TCO Calculator Outputs'!K$27&gt;0,"",'TCO Calculator Inputs'!$E$51*'TCO Calculator Inputs'!$E$49*'TCO Calculator Inputs'!$E$20)),"")</f>
        <v/>
      </c>
      <c r="L36" s="71" t="str">
        <f ca="1">IF(CELL("type",L$27)="v",(IF('TCO Calculator Inputs'!$E$19-'TCO Calculator Outputs'!L$27&gt;0,"",'TCO Calculator Inputs'!$E$51*'TCO Calculator Inputs'!$E$49*'TCO Calculator Inputs'!$E$20)),"")</f>
        <v/>
      </c>
      <c r="M36" s="71">
        <f ca="1">IF(CELL("type",M$27)="v",(IF('TCO Calculator Inputs'!$E$19-'TCO Calculator Outputs'!M$27&gt;0,"",'TCO Calculator Inputs'!$E$51*'TCO Calculator Inputs'!$E$49*'TCO Calculator Inputs'!$E$20)),"")</f>
        <v>2000</v>
      </c>
      <c r="N36" s="71" t="str">
        <f ca="1">IF(CELL("type",N$27)="v",(IF('TCO Calculator Inputs'!$E$19-'TCO Calculator Outputs'!N$27&gt;0,"",'TCO Calculator Inputs'!$E$51*'TCO Calculator Inputs'!$E$49*'TCO Calculator Inputs'!$E$20)),"")</f>
        <v/>
      </c>
      <c r="O36" s="71" t="str">
        <f ca="1">IF(CELL("type",O$27)="v",(IF('TCO Calculator Inputs'!$E$19-'TCO Calculator Outputs'!O$27&gt;0,"",'TCO Calculator Inputs'!$E$51*'TCO Calculator Inputs'!$E$49*'TCO Calculator Inputs'!$E$20)),"")</f>
        <v/>
      </c>
      <c r="P36" s="71" t="str">
        <f ca="1">IF(CELL("type",P$27)="v",(IF('TCO Calculator Inputs'!$E$19-'TCO Calculator Outputs'!P$27&gt;0,"",'TCO Calculator Inputs'!$E$51*'TCO Calculator Inputs'!$E$49*'TCO Calculator Inputs'!$E$20)),"")</f>
        <v/>
      </c>
      <c r="Q36" s="71" t="str">
        <f ca="1">IF(CELL("type",Q$27)="v",(IF('TCO Calculator Inputs'!$E$19-'TCO Calculator Outputs'!Q$27&gt;0,"",'TCO Calculator Inputs'!$E$51*'TCO Calculator Inputs'!$E$49*'TCO Calculator Inputs'!$E$20)),"")</f>
        <v/>
      </c>
      <c r="R36" s="71" t="str">
        <f ca="1">IF(CELL("type",R$27)="v",(IF('TCO Calculator Inputs'!$E$19-'TCO Calculator Outputs'!R$27&gt;0,"",'TCO Calculator Inputs'!$E$51*'TCO Calculator Inputs'!$E$49*'TCO Calculator Inputs'!$E$20)),"")</f>
        <v/>
      </c>
      <c r="S36" s="71" t="str">
        <f ca="1">IF(CELL("type",S$27)="v",(IF('TCO Calculator Inputs'!$E$19-'TCO Calculator Outputs'!S$27&gt;0,"",'TCO Calculator Inputs'!$E$51*'TCO Calculator Inputs'!$E$49*'TCO Calculator Inputs'!$E$20)),"")</f>
        <v/>
      </c>
      <c r="T36" s="71" t="str">
        <f ca="1">IF(CELL("type",T$27)="v",(IF('TCO Calculator Inputs'!$E$19-'TCO Calculator Outputs'!T$27&gt;0,"",'TCO Calculator Inputs'!$E$51*'TCO Calculator Inputs'!$E$49*'TCO Calculator Inputs'!$E$20)),"")</f>
        <v/>
      </c>
      <c r="U36" s="71" t="str">
        <f ca="1">IF(CELL("type",U$27)="v",(IF('TCO Calculator Inputs'!$E$19-'TCO Calculator Outputs'!U$27&gt;0,"",'TCO Calculator Inputs'!$E$51*'TCO Calculator Inputs'!$E$49*'TCO Calculator Inputs'!$E$20)),"")</f>
        <v/>
      </c>
      <c r="V36" s="71" t="str">
        <f ca="1">IF(CELL("type",V$27)="v",(IF('TCO Calculator Inputs'!$E$19-'TCO Calculator Outputs'!V$27&gt;0,"",'TCO Calculator Inputs'!$E$51*'TCO Calculator Inputs'!$E$49*'TCO Calculator Inputs'!$E$20)),"")</f>
        <v/>
      </c>
      <c r="W36" s="71" t="str">
        <f ca="1">IF(CELL("type",W$27)="v",(IF('TCO Calculator Inputs'!$E$19-'TCO Calculator Outputs'!W$27&gt;0,"",'TCO Calculator Inputs'!$E$51*'TCO Calculator Inputs'!$E$49*'TCO Calculator Inputs'!$E$20)),"")</f>
        <v/>
      </c>
      <c r="X36" s="71" t="str">
        <f ca="1">IF(CELL("type",X$27)="v",(IF('TCO Calculator Inputs'!$E$19-'TCO Calculator Outputs'!X$27&gt;0,"",'TCO Calculator Inputs'!$E$51*'TCO Calculator Inputs'!$E$49*'TCO Calculator Inputs'!$E$20)),"")</f>
        <v/>
      </c>
      <c r="Y36" s="71" t="str">
        <f ca="1">IF(CELL("type",Y$27)="v",(IF('TCO Calculator Inputs'!$E$19-'TCO Calculator Outputs'!Y$27&gt;0,"",'TCO Calculator Inputs'!$E$51*'TCO Calculator Inputs'!$E$49*'TCO Calculator Inputs'!$E$20)),"")</f>
        <v/>
      </c>
      <c r="Z36" s="71" t="str">
        <f ca="1">IF(CELL("type",Z$27)="v",(IF('TCO Calculator Inputs'!$E$19-'TCO Calculator Outputs'!Z$27&gt;0,"",'TCO Calculator Inputs'!$E$51*'TCO Calculator Inputs'!$E$49*'TCO Calculator Inputs'!$E$20)),"")</f>
        <v/>
      </c>
      <c r="AA36" s="71" t="str">
        <f ca="1">IF(CELL("type",AA$27)="v",(IF('TCO Calculator Inputs'!$E$19-'TCO Calculator Outputs'!AA$27&gt;0,"",'TCO Calculator Inputs'!$E$51*'TCO Calculator Inputs'!$E$49*'TCO Calculator Inputs'!$E$20)),"")</f>
        <v/>
      </c>
      <c r="AB36" s="71" t="str">
        <f ca="1">IF(CELL("type",AB$27)="v",(IF('TCO Calculator Inputs'!$E$19-'TCO Calculator Outputs'!AB$27&gt;0,"",'TCO Calculator Inputs'!$E$51*'TCO Calculator Inputs'!$E$49*'TCO Calculator Inputs'!$E$20)),"")</f>
        <v/>
      </c>
      <c r="AC36" s="71" t="str">
        <f ca="1">IF(CELL("type",AC$27)="v",(IF('TCO Calculator Inputs'!$E$19-'TCO Calculator Outputs'!AC$27&gt;0,"",'TCO Calculator Inputs'!$E$51*'TCO Calculator Inputs'!$E$49*'TCO Calculator Inputs'!$E$20)),"")</f>
        <v/>
      </c>
      <c r="AD36" s="71" t="str">
        <f ca="1">IF(CELL("type",AD$27)="v",(IF('TCO Calculator Inputs'!$E$19-'TCO Calculator Outputs'!AD$27&gt;0,"",'TCO Calculator Inputs'!$E$51*'TCO Calculator Inputs'!$E$49*'TCO Calculator Inputs'!$E$20)),"")</f>
        <v/>
      </c>
      <c r="AE36" s="71" t="str">
        <f ca="1">IF(CELL("type",AE$27)="v",(IF('TCO Calculator Inputs'!$E$19-'TCO Calculator Outputs'!AE$27&gt;0,"",'TCO Calculator Inputs'!$E$51*'TCO Calculator Inputs'!$E$49*'TCO Calculator Inputs'!$E$20)),"")</f>
        <v/>
      </c>
      <c r="AF36" s="71" t="str">
        <f ca="1">IF(CELL("type",AF$27)="v",(IF('TCO Calculator Inputs'!$E$19-'TCO Calculator Outputs'!AF$27&gt;0,"",'TCO Calculator Inputs'!$E$51*'TCO Calculator Inputs'!$E$49*'TCO Calculator Inputs'!$E$20)),"")</f>
        <v/>
      </c>
      <c r="AG36" s="71" t="str">
        <f ca="1">IF(CELL("type",AG$27)="v",(IF('TCO Calculator Inputs'!$E$19-'TCO Calculator Outputs'!AG$27&gt;0,"",'TCO Calculator Inputs'!$E$51*'TCO Calculator Inputs'!$E$49*'TCO Calculator Inputs'!$E$20)),"")</f>
        <v/>
      </c>
    </row>
    <row r="37" spans="2:33" x14ac:dyDescent="0.25">
      <c r="B37" s="78" t="str">
        <f>IF('TCO Calculator Inputs'!$E$19/'TCO Calculator Inputs'!$E$36&gt;=1,"First Battery Replacement Cost","")</f>
        <v>First Battery Replacement Cost</v>
      </c>
      <c r="C37" s="74"/>
      <c r="D37" s="73" t="str">
        <f ca="1">IF(CELL("type",D$27)="v",IF(D$27='TCO Calculator Inputs'!$E$36+1,(-'TCO Calculator Inputs'!$E$42*'TCO Calculator Inputs'!$E$41*'TCO Calculator Inputs'!$E$43)*'TCO Calculator Inputs'!$E$20,""),"")</f>
        <v/>
      </c>
      <c r="E37" s="73" t="str">
        <f ca="1">IF(CELL("type",E$27)="v",IF(E$27='TCO Calculator Inputs'!$E$36+1,(-'TCO Calculator Inputs'!$E$42*'TCO Calculator Inputs'!$E$41*'TCO Calculator Inputs'!$E$43)*'TCO Calculator Inputs'!$E$20,""),"")</f>
        <v/>
      </c>
      <c r="F37" s="73" t="str">
        <f ca="1">IF(CELL("type",F$27)="v",IF(F$27='TCO Calculator Inputs'!$E$36+1,(-'TCO Calculator Inputs'!$E$42*'TCO Calculator Inputs'!$E$41*'TCO Calculator Inputs'!$E$43)*'TCO Calculator Inputs'!$E$20,""),"")</f>
        <v/>
      </c>
      <c r="G37" s="73" t="str">
        <f ca="1">IF(CELL("type",G$27)="v",IF(G$27='TCO Calculator Inputs'!$E$36+1,(-'TCO Calculator Inputs'!$E$42*'TCO Calculator Inputs'!$E$41*'TCO Calculator Inputs'!$E$43)*'TCO Calculator Inputs'!$E$20,""),"")</f>
        <v/>
      </c>
      <c r="H37" s="73" t="str">
        <f ca="1">IF(CELL("type",H$27)="v",IF(H$27='TCO Calculator Inputs'!$E$36+1,(-'TCO Calculator Inputs'!$E$42*'TCO Calculator Inputs'!$E$41*'TCO Calculator Inputs'!$E$43)*'TCO Calculator Inputs'!$E$20,""),"")</f>
        <v/>
      </c>
      <c r="I37" s="73" t="str">
        <f ca="1">IF(CELL("type",I$27)="v",IF(I$27='TCO Calculator Inputs'!$E$36+1,(-'TCO Calculator Inputs'!$E$42*'TCO Calculator Inputs'!$E$41*'TCO Calculator Inputs'!$E$43)*'TCO Calculator Inputs'!$E$20,""),"")</f>
        <v/>
      </c>
      <c r="J37" s="73" t="str">
        <f ca="1">IF(CELL("type",J$27)="v",IF(J$27='TCO Calculator Inputs'!$E$36+1,(-'TCO Calculator Inputs'!$E$42*'TCO Calculator Inputs'!$E$41*'TCO Calculator Inputs'!$E$43)*'TCO Calculator Inputs'!$E$20,""),"")</f>
        <v/>
      </c>
      <c r="K37" s="73" t="str">
        <f ca="1">IF(CELL("type",K$27)="v",IF(K$27='TCO Calculator Inputs'!$E$36+1,(-'TCO Calculator Inputs'!$E$42*'TCO Calculator Inputs'!$E$41*'TCO Calculator Inputs'!$E$43)*'TCO Calculator Inputs'!$E$20,""),"")</f>
        <v/>
      </c>
      <c r="L37" s="73">
        <f ca="1">IF(CELL("type",L$27)="v",IF(L$27='TCO Calculator Inputs'!$E$36+1,(-'TCO Calculator Inputs'!$E$42*'TCO Calculator Inputs'!$E$41*'TCO Calculator Inputs'!$E$43)*'TCO Calculator Inputs'!$E$20,""),"")</f>
        <v>-17205</v>
      </c>
      <c r="M37" s="73" t="str">
        <f ca="1">IF(CELL("type",M$27)="v",IF(M$27='TCO Calculator Inputs'!$E$36+1,(-'TCO Calculator Inputs'!$E$42*'TCO Calculator Inputs'!$E$41*'TCO Calculator Inputs'!$E$43)*'TCO Calculator Inputs'!$E$20,""),"")</f>
        <v/>
      </c>
      <c r="N37" s="73" t="str">
        <f ca="1">IF(CELL("type",N$27)="v",IF(N$27='TCO Calculator Inputs'!$E$36+1,(-'TCO Calculator Inputs'!$E$42*'TCO Calculator Inputs'!$E$41*'TCO Calculator Inputs'!$E$43)*'TCO Calculator Inputs'!$E$20,""),"")</f>
        <v/>
      </c>
      <c r="O37" s="73" t="str">
        <f ca="1">IF(CELL("type",O$27)="v",IF(O$27='TCO Calculator Inputs'!$E$36+1,(-'TCO Calculator Inputs'!$E$42*'TCO Calculator Inputs'!$E$41*'TCO Calculator Inputs'!$E$43)*'TCO Calculator Inputs'!$E$20,""),"")</f>
        <v/>
      </c>
      <c r="P37" s="73" t="str">
        <f ca="1">IF(CELL("type",P$27)="v",IF(P$27='TCO Calculator Inputs'!$E$36+1,(-'TCO Calculator Inputs'!$E$42*'TCO Calculator Inputs'!$E$41*'TCO Calculator Inputs'!$E$43)*'TCO Calculator Inputs'!$E$20,""),"")</f>
        <v/>
      </c>
      <c r="Q37" s="73" t="str">
        <f ca="1">IF(CELL("type",Q$27)="v",IF(Q$27='TCO Calculator Inputs'!$E$36+1,(-'TCO Calculator Inputs'!$E$42*'TCO Calculator Inputs'!$E$41*'TCO Calculator Inputs'!$E$43)*'TCO Calculator Inputs'!$E$20,""),"")</f>
        <v/>
      </c>
      <c r="R37" s="73" t="str">
        <f ca="1">IF(CELL("type",R$27)="v",IF(R$27='TCO Calculator Inputs'!$E$36+1,(-'TCO Calculator Inputs'!$E$42*'TCO Calculator Inputs'!$E$41*'TCO Calculator Inputs'!$E$43)*'TCO Calculator Inputs'!$E$20,""),"")</f>
        <v/>
      </c>
      <c r="S37" s="73" t="str">
        <f ca="1">IF(CELL("type",S$27)="v",IF(S$27='TCO Calculator Inputs'!$E$36+1,(-'TCO Calculator Inputs'!$E$42*'TCO Calculator Inputs'!$E$41*'TCO Calculator Inputs'!$E$43)*'TCO Calculator Inputs'!$E$20,""),"")</f>
        <v/>
      </c>
      <c r="T37" s="73" t="str">
        <f ca="1">IF(CELL("type",T$27)="v",IF(T$27='TCO Calculator Inputs'!$E$36+1,(-'TCO Calculator Inputs'!$E$42*'TCO Calculator Inputs'!$E$41*'TCO Calculator Inputs'!$E$43)*'TCO Calculator Inputs'!$E$20,""),"")</f>
        <v/>
      </c>
      <c r="U37" s="73" t="str">
        <f ca="1">IF(CELL("type",U$27)="v",IF(U$27='TCO Calculator Inputs'!$E$36+1,(-'TCO Calculator Inputs'!$E$42*'TCO Calculator Inputs'!$E$41*'TCO Calculator Inputs'!$E$43)*'TCO Calculator Inputs'!$E$20,""),"")</f>
        <v/>
      </c>
      <c r="V37" s="73" t="str">
        <f ca="1">IF(CELL("type",V$27)="v",IF(V$27='TCO Calculator Inputs'!$E$36+1,(-'TCO Calculator Inputs'!$E$42*'TCO Calculator Inputs'!$E$41*'TCO Calculator Inputs'!$E$43)*'TCO Calculator Inputs'!$E$20,""),"")</f>
        <v/>
      </c>
      <c r="W37" s="73" t="str">
        <f ca="1">IF(CELL("type",W$27)="v",IF(W$27='TCO Calculator Inputs'!$E$36+1,(-'TCO Calculator Inputs'!$E$42*'TCO Calculator Inputs'!$E$41*'TCO Calculator Inputs'!$E$43)*'TCO Calculator Inputs'!$E$20,""),"")</f>
        <v/>
      </c>
      <c r="X37" s="73" t="str">
        <f ca="1">IF(CELL("type",X$27)="v",IF(X$27='TCO Calculator Inputs'!$E$36+1,(-'TCO Calculator Inputs'!$E$42*'TCO Calculator Inputs'!$E$41*'TCO Calculator Inputs'!$E$43)*'TCO Calculator Inputs'!$E$20,""),"")</f>
        <v/>
      </c>
      <c r="Y37" s="73" t="str">
        <f ca="1">IF(CELL("type",Y$27)="v",IF(Y$27='TCO Calculator Inputs'!$E$36+1,(-'TCO Calculator Inputs'!$E$42*'TCO Calculator Inputs'!$E$41*'TCO Calculator Inputs'!$E$43)*'TCO Calculator Inputs'!$E$20,""),"")</f>
        <v/>
      </c>
      <c r="Z37" s="73" t="str">
        <f ca="1">IF(CELL("type",Z$27)="v",IF(Z$27='TCO Calculator Inputs'!$E$36+1,(-'TCO Calculator Inputs'!$E$42*'TCO Calculator Inputs'!$E$41*'TCO Calculator Inputs'!$E$43)*'TCO Calculator Inputs'!$E$20,""),"")</f>
        <v/>
      </c>
      <c r="AA37" s="73" t="str">
        <f ca="1">IF(CELL("type",AA$27)="v",IF(AA$27='TCO Calculator Inputs'!$E$36+1,(-'TCO Calculator Inputs'!$E$42*'TCO Calculator Inputs'!$E$41*'TCO Calculator Inputs'!$E$43)*'TCO Calculator Inputs'!$E$20,""),"")</f>
        <v/>
      </c>
      <c r="AB37" s="73" t="str">
        <f ca="1">IF(CELL("type",AB$27)="v",IF(AB$27='TCO Calculator Inputs'!$E$36+1,(-'TCO Calculator Inputs'!$E$42*'TCO Calculator Inputs'!$E$41*'TCO Calculator Inputs'!$E$43)*'TCO Calculator Inputs'!$E$20,""),"")</f>
        <v/>
      </c>
      <c r="AC37" s="73" t="str">
        <f ca="1">IF(CELL("type",AC$27)="v",IF(AC$27='TCO Calculator Inputs'!$E$36+1,(-'TCO Calculator Inputs'!$E$42*'TCO Calculator Inputs'!$E$41*'TCO Calculator Inputs'!$E$43)*'TCO Calculator Inputs'!$E$20,""),"")</f>
        <v/>
      </c>
      <c r="AD37" s="73" t="str">
        <f ca="1">IF(CELL("type",AD$27)="v",IF(AD$27='TCO Calculator Inputs'!$E$36+1,(-'TCO Calculator Inputs'!$E$42*'TCO Calculator Inputs'!$E$41*'TCO Calculator Inputs'!$E$43)*'TCO Calculator Inputs'!$E$20,""),"")</f>
        <v/>
      </c>
      <c r="AE37" s="73" t="str">
        <f ca="1">IF(CELL("type",AE$27)="v",IF(AE$27='TCO Calculator Inputs'!$E$36+1,(-'TCO Calculator Inputs'!$E$42*'TCO Calculator Inputs'!$E$41*'TCO Calculator Inputs'!$E$43)*'TCO Calculator Inputs'!$E$20,""),"")</f>
        <v/>
      </c>
      <c r="AF37" s="73" t="str">
        <f ca="1">IF(CELL("type",AF$27)="v",IF(AF$27='TCO Calculator Inputs'!$E$36+1,(-'TCO Calculator Inputs'!$E$42*'TCO Calculator Inputs'!$E$41*'TCO Calculator Inputs'!$E$43)*'TCO Calculator Inputs'!$E$20,""),"")</f>
        <v/>
      </c>
      <c r="AG37" s="73" t="str">
        <f ca="1">IF(CELL("type",AG$27)="v",IF(AG$27='TCO Calculator Inputs'!$E$36+1,(-'TCO Calculator Inputs'!$E$42*'TCO Calculator Inputs'!$E$41*'TCO Calculator Inputs'!$E$43)*'TCO Calculator Inputs'!$E$20,""),"")</f>
        <v/>
      </c>
    </row>
    <row r="38" spans="2:33" x14ac:dyDescent="0.25">
      <c r="B38" s="78" t="str">
        <f>IF('TCO Calculator Inputs'!$E$19/'TCO Calculator Inputs'!$E$36&gt;=2,"Second Battery Replacement Cost","")</f>
        <v/>
      </c>
      <c r="C38" s="74"/>
      <c r="D38" s="73" t="str">
        <f ca="1">IF(CELL("type",D$27)="v",IF(D$27=(2*'TCO Calculator Inputs'!$E$36)+1,(-'TCO Calculator Inputs'!$E$42*'TCO Calculator Inputs'!$E$41*'TCO Calculator Inputs'!$E$43)*'TCO Calculator Inputs'!$E$20,""),"")</f>
        <v/>
      </c>
      <c r="E38" s="73" t="str">
        <f ca="1">IF(CELL("type",E$27)="v",IF(E$27=(2*'TCO Calculator Inputs'!$E$36)+1,(-'TCO Calculator Inputs'!$E$42*'TCO Calculator Inputs'!$E$41*'TCO Calculator Inputs'!$E$43)*'TCO Calculator Inputs'!$E$20,""),"")</f>
        <v/>
      </c>
      <c r="F38" s="73" t="str">
        <f ca="1">IF(CELL("type",F$27)="v",IF(F$27=(2*'TCO Calculator Inputs'!$E$36)+1,(-'TCO Calculator Inputs'!$E$42*'TCO Calculator Inputs'!$E$41*'TCO Calculator Inputs'!$E$43)*'TCO Calculator Inputs'!$E$20,""),"")</f>
        <v/>
      </c>
      <c r="G38" s="73" t="str">
        <f ca="1">IF(CELL("type",G$27)="v",IF(G$27=(2*'TCO Calculator Inputs'!$E$36)+1,(-'TCO Calculator Inputs'!$E$42*'TCO Calculator Inputs'!$E$41*'TCO Calculator Inputs'!$E$43)*'TCO Calculator Inputs'!$E$20,""),"")</f>
        <v/>
      </c>
      <c r="H38" s="73" t="str">
        <f ca="1">IF(CELL("type",H$27)="v",IF(H$27=(2*'TCO Calculator Inputs'!$E$36)+1,(-'TCO Calculator Inputs'!$E$42*'TCO Calculator Inputs'!$E$41*'TCO Calculator Inputs'!$E$43)*'TCO Calculator Inputs'!$E$20,""),"")</f>
        <v/>
      </c>
      <c r="I38" s="73" t="str">
        <f ca="1">IF(CELL("type",I$27)="v",IF(I$27=(2*'TCO Calculator Inputs'!$E$36)+1,(-'TCO Calculator Inputs'!$E$42*'TCO Calculator Inputs'!$E$41*'TCO Calculator Inputs'!$E$43)*'TCO Calculator Inputs'!$E$20,""),"")</f>
        <v/>
      </c>
      <c r="J38" s="73" t="str">
        <f ca="1">IF(CELL("type",J$27)="v",IF(J$27=(2*'TCO Calculator Inputs'!$E$36)+1,(-'TCO Calculator Inputs'!$E$42*'TCO Calculator Inputs'!$E$41*'TCO Calculator Inputs'!$E$43)*'TCO Calculator Inputs'!$E$20,""),"")</f>
        <v/>
      </c>
      <c r="K38" s="73" t="str">
        <f ca="1">IF(CELL("type",K$27)="v",IF(K$27=(2*'TCO Calculator Inputs'!$E$36)+1,(-'TCO Calculator Inputs'!$E$42*'TCO Calculator Inputs'!$E$41*'TCO Calculator Inputs'!$E$43)*'TCO Calculator Inputs'!$E$20,""),"")</f>
        <v/>
      </c>
      <c r="L38" s="73" t="str">
        <f ca="1">IF(CELL("type",L$27)="v",IF(L$27=(2*'TCO Calculator Inputs'!$E$36)+1,(-'TCO Calculator Inputs'!$E$42*'TCO Calculator Inputs'!$E$41*'TCO Calculator Inputs'!$E$43)*'TCO Calculator Inputs'!$E$20,""),"")</f>
        <v/>
      </c>
      <c r="M38" s="73" t="str">
        <f ca="1">IF(CELL("type",M$27)="v",IF(M$27=(2*'TCO Calculator Inputs'!$E$36)+1,(-'TCO Calculator Inputs'!$E$42*'TCO Calculator Inputs'!$E$41*'TCO Calculator Inputs'!$E$43)*'TCO Calculator Inputs'!$E$20,""),"")</f>
        <v/>
      </c>
      <c r="N38" s="73" t="str">
        <f ca="1">IF(CELL("type",N$27)="v",IF(N$27=(2*'TCO Calculator Inputs'!$E$36)+1,(-'TCO Calculator Inputs'!$E$42*'TCO Calculator Inputs'!$E$41*'TCO Calculator Inputs'!$E$43)*'TCO Calculator Inputs'!$E$20,""),"")</f>
        <v/>
      </c>
      <c r="O38" s="73" t="str">
        <f ca="1">IF(CELL("type",O$27)="v",IF(O$27=(2*'TCO Calculator Inputs'!$E$36)+1,(-'TCO Calculator Inputs'!$E$42*'TCO Calculator Inputs'!$E$41*'TCO Calculator Inputs'!$E$43)*'TCO Calculator Inputs'!$E$20,""),"")</f>
        <v/>
      </c>
      <c r="P38" s="73" t="str">
        <f ca="1">IF(CELL("type",P$27)="v",IF(P$27=(2*'TCO Calculator Inputs'!$E$36)+1,(-'TCO Calculator Inputs'!$E$42*'TCO Calculator Inputs'!$E$41*'TCO Calculator Inputs'!$E$43)*'TCO Calculator Inputs'!$E$20,""),"")</f>
        <v/>
      </c>
      <c r="Q38" s="73" t="str">
        <f ca="1">IF(CELL("type",Q$27)="v",IF(Q$27=(2*'TCO Calculator Inputs'!$E$36)+1,(-'TCO Calculator Inputs'!$E$42*'TCO Calculator Inputs'!$E$41*'TCO Calculator Inputs'!$E$43)*'TCO Calculator Inputs'!$E$20,""),"")</f>
        <v/>
      </c>
      <c r="R38" s="73" t="str">
        <f ca="1">IF(CELL("type",R$27)="v",IF(R$27=(2*'TCO Calculator Inputs'!$E$36)+1,(-'TCO Calculator Inputs'!$E$42*'TCO Calculator Inputs'!$E$41*'TCO Calculator Inputs'!$E$43)*'TCO Calculator Inputs'!$E$20,""),"")</f>
        <v/>
      </c>
      <c r="S38" s="73" t="str">
        <f ca="1">IF(CELL("type",S$27)="v",IF(S$27=(2*'TCO Calculator Inputs'!$E$36)+1,(-'TCO Calculator Inputs'!$E$42*'TCO Calculator Inputs'!$E$41*'TCO Calculator Inputs'!$E$43)*'TCO Calculator Inputs'!$E$20,""),"")</f>
        <v/>
      </c>
      <c r="T38" s="73" t="str">
        <f ca="1">IF(CELL("type",T$27)="v",IF(T$27=(2*'TCO Calculator Inputs'!$E$36)+1,(-'TCO Calculator Inputs'!$E$42*'TCO Calculator Inputs'!$E$41*'TCO Calculator Inputs'!$E$43)*'TCO Calculator Inputs'!$E$20,""),"")</f>
        <v/>
      </c>
      <c r="U38" s="73" t="str">
        <f ca="1">IF(CELL("type",U$27)="v",IF(U$27=(2*'TCO Calculator Inputs'!$E$36)+1,(-'TCO Calculator Inputs'!$E$42*'TCO Calculator Inputs'!$E$41*'TCO Calculator Inputs'!$E$43)*'TCO Calculator Inputs'!$E$20,""),"")</f>
        <v/>
      </c>
      <c r="V38" s="73" t="str">
        <f ca="1">IF(CELL("type",V$27)="v",IF(V$27=(2*'TCO Calculator Inputs'!$E$36)+1,(-'TCO Calculator Inputs'!$E$42*'TCO Calculator Inputs'!$E$41*'TCO Calculator Inputs'!$E$43)*'TCO Calculator Inputs'!$E$20,""),"")</f>
        <v/>
      </c>
      <c r="W38" s="73" t="str">
        <f ca="1">IF(CELL("type",W$27)="v",IF(W$27=(2*'TCO Calculator Inputs'!$E$36)+1,(-'TCO Calculator Inputs'!$E$42*'TCO Calculator Inputs'!$E$41*'TCO Calculator Inputs'!$E$43)*'TCO Calculator Inputs'!$E$20,""),"")</f>
        <v/>
      </c>
      <c r="X38" s="73" t="str">
        <f ca="1">IF(CELL("type",X$27)="v",IF(X$27=(2*'TCO Calculator Inputs'!$E$36)+1,(-'TCO Calculator Inputs'!$E$42*'TCO Calculator Inputs'!$E$41*'TCO Calculator Inputs'!$E$43)*'TCO Calculator Inputs'!$E$20,""),"")</f>
        <v/>
      </c>
      <c r="Y38" s="73" t="str">
        <f ca="1">IF(CELL("type",Y$27)="v",IF(Y$27=(2*'TCO Calculator Inputs'!$E$36)+1,(-'TCO Calculator Inputs'!$E$42*'TCO Calculator Inputs'!$E$41*'TCO Calculator Inputs'!$E$43)*'TCO Calculator Inputs'!$E$20,""),"")</f>
        <v/>
      </c>
      <c r="Z38" s="73" t="str">
        <f ca="1">IF(CELL("type",Z$27)="v",IF(Z$27=(2*'TCO Calculator Inputs'!$E$36)+1,(-'TCO Calculator Inputs'!$E$42*'TCO Calculator Inputs'!$E$41*'TCO Calculator Inputs'!$E$43)*'TCO Calculator Inputs'!$E$20,""),"")</f>
        <v/>
      </c>
      <c r="AA38" s="73" t="str">
        <f ca="1">IF(CELL("type",AA$27)="v",IF(AA$27=(2*'TCO Calculator Inputs'!$E$36)+1,(-'TCO Calculator Inputs'!$E$42*'TCO Calculator Inputs'!$E$41*'TCO Calculator Inputs'!$E$43)*'TCO Calculator Inputs'!$E$20,""),"")</f>
        <v/>
      </c>
      <c r="AB38" s="73" t="str">
        <f ca="1">IF(CELL("type",AB$27)="v",IF(AB$27=(2*'TCO Calculator Inputs'!$E$36)+1,(-'TCO Calculator Inputs'!$E$42*'TCO Calculator Inputs'!$E$41*'TCO Calculator Inputs'!$E$43)*'TCO Calculator Inputs'!$E$20,""),"")</f>
        <v/>
      </c>
      <c r="AC38" s="73" t="str">
        <f ca="1">IF(CELL("type",AC$27)="v",IF(AC$27=(2*'TCO Calculator Inputs'!$E$36)+1,(-'TCO Calculator Inputs'!$E$42*'TCO Calculator Inputs'!$E$41*'TCO Calculator Inputs'!$E$43)*'TCO Calculator Inputs'!$E$20,""),"")</f>
        <v/>
      </c>
      <c r="AD38" s="73" t="str">
        <f ca="1">IF(CELL("type",AD$27)="v",IF(AD$27=(2*'TCO Calculator Inputs'!$E$36)+1,(-'TCO Calculator Inputs'!$E$42*'TCO Calculator Inputs'!$E$41*'TCO Calculator Inputs'!$E$43)*'TCO Calculator Inputs'!$E$20,""),"")</f>
        <v/>
      </c>
      <c r="AE38" s="73" t="str">
        <f ca="1">IF(CELL("type",AE$27)="v",IF(AE$27=(2*'TCO Calculator Inputs'!$E$36)+1,(-'TCO Calculator Inputs'!$E$42*'TCO Calculator Inputs'!$E$41*'TCO Calculator Inputs'!$E$43)*'TCO Calculator Inputs'!$E$20,""),"")</f>
        <v/>
      </c>
      <c r="AF38" s="73" t="str">
        <f ca="1">IF(CELL("type",AF$27)="v",IF(AF$27=(2*'TCO Calculator Inputs'!$E$36)+1,(-'TCO Calculator Inputs'!$E$42*'TCO Calculator Inputs'!$E$41*'TCO Calculator Inputs'!$E$43)*'TCO Calculator Inputs'!$E$20,""),"")</f>
        <v/>
      </c>
      <c r="AG38" s="73" t="str">
        <f ca="1">IF(CELL("type",AG$27)="v",IF(AG$27=(2*'TCO Calculator Inputs'!$E$36)+1,(-'TCO Calculator Inputs'!$E$42*'TCO Calculator Inputs'!$E$41*'TCO Calculator Inputs'!$E$43)*'TCO Calculator Inputs'!$E$20,""),"")</f>
        <v/>
      </c>
    </row>
    <row r="39" spans="2:33" x14ac:dyDescent="0.25">
      <c r="B39" s="78" t="str">
        <f>IF('TCO Calculator Inputs'!$E$19/'TCO Calculator Inputs'!$E$36&gt;=3,"Third Battery Replacement Cost","")</f>
        <v/>
      </c>
      <c r="C39" s="74"/>
      <c r="D39" s="73" t="str">
        <f ca="1">IF(CELL("type",D$27)="v",IF(D$27=(3*'TCO Calculator Inputs'!$E$36)+1,(-'TCO Calculator Inputs'!$E$42*'TCO Calculator Inputs'!$E$41*'TCO Calculator Inputs'!$E$43)*'TCO Calculator Inputs'!$E$20,""),"")</f>
        <v/>
      </c>
      <c r="E39" s="73" t="str">
        <f ca="1">IF(CELL("type",E$27)="v",IF(E$27=(3*'TCO Calculator Inputs'!$E$36)+1,(-'TCO Calculator Inputs'!$E$42*'TCO Calculator Inputs'!$E$41*'TCO Calculator Inputs'!$E$43)*'TCO Calculator Inputs'!$E$20,""),"")</f>
        <v/>
      </c>
      <c r="F39" s="73" t="str">
        <f ca="1">IF(CELL("type",F$27)="v",IF(F$27=(3*'TCO Calculator Inputs'!$E$36)+1,(-'TCO Calculator Inputs'!$E$42*'TCO Calculator Inputs'!$E$41*'TCO Calculator Inputs'!$E$43)*'TCO Calculator Inputs'!$E$20,""),"")</f>
        <v/>
      </c>
      <c r="G39" s="73" t="str">
        <f ca="1">IF(CELL("type",G$27)="v",IF(G$27=(3*'TCO Calculator Inputs'!$E$36)+1,(-'TCO Calculator Inputs'!$E$42*'TCO Calculator Inputs'!$E$41*'TCO Calculator Inputs'!$E$43)*'TCO Calculator Inputs'!$E$20,""),"")</f>
        <v/>
      </c>
      <c r="H39" s="73" t="str">
        <f ca="1">IF(CELL("type",H$27)="v",IF(H$27=(3*'TCO Calculator Inputs'!$E$36)+1,(-'TCO Calculator Inputs'!$E$42*'TCO Calculator Inputs'!$E$41*'TCO Calculator Inputs'!$E$43)*'TCO Calculator Inputs'!$E$20,""),"")</f>
        <v/>
      </c>
      <c r="I39" s="73" t="str">
        <f ca="1">IF(CELL("type",I$27)="v",IF(I$27=(3*'TCO Calculator Inputs'!$E$36)+1,(-'TCO Calculator Inputs'!$E$42*'TCO Calculator Inputs'!$E$41*'TCO Calculator Inputs'!$E$43)*'TCO Calculator Inputs'!$E$20,""),"")</f>
        <v/>
      </c>
      <c r="J39" s="73" t="str">
        <f ca="1">IF(CELL("type",J$27)="v",IF(J$27=(3*'TCO Calculator Inputs'!$E$36)+1,(-'TCO Calculator Inputs'!$E$42*'TCO Calculator Inputs'!$E$41*'TCO Calculator Inputs'!$E$43)*'TCO Calculator Inputs'!$E$20,""),"")</f>
        <v/>
      </c>
      <c r="K39" s="73" t="str">
        <f ca="1">IF(CELL("type",K$27)="v",IF(K$27=(3*'TCO Calculator Inputs'!$E$36)+1,(-'TCO Calculator Inputs'!$E$42*'TCO Calculator Inputs'!$E$41*'TCO Calculator Inputs'!$E$43)*'TCO Calculator Inputs'!$E$20,""),"")</f>
        <v/>
      </c>
      <c r="L39" s="73" t="str">
        <f ca="1">IF(CELL("type",L$27)="v",IF(L$27=(3*'TCO Calculator Inputs'!$E$36)+1,(-'TCO Calculator Inputs'!$E$42*'TCO Calculator Inputs'!$E$41*'TCO Calculator Inputs'!$E$43)*'TCO Calculator Inputs'!$E$20,""),"")</f>
        <v/>
      </c>
      <c r="M39" s="73" t="str">
        <f ca="1">IF(CELL("type",M$27)="v",IF(M$27=(3*'TCO Calculator Inputs'!$E$36)+1,(-'TCO Calculator Inputs'!$E$42*'TCO Calculator Inputs'!$E$41*'TCO Calculator Inputs'!$E$43)*'TCO Calculator Inputs'!$E$20,""),"")</f>
        <v/>
      </c>
      <c r="N39" s="73" t="str">
        <f ca="1">IF(CELL("type",N$27)="v",IF(N$27=(3*'TCO Calculator Inputs'!$E$36)+1,(-'TCO Calculator Inputs'!$E$42*'TCO Calculator Inputs'!$E$41*'TCO Calculator Inputs'!$E$43)*'TCO Calculator Inputs'!$E$20,""),"")</f>
        <v/>
      </c>
      <c r="O39" s="73" t="str">
        <f ca="1">IF(CELL("type",O$27)="v",IF(O$27=(3*'TCO Calculator Inputs'!$E$36)+1,(-'TCO Calculator Inputs'!$E$42*'TCO Calculator Inputs'!$E$41*'TCO Calculator Inputs'!$E$43)*'TCO Calculator Inputs'!$E$20,""),"")</f>
        <v/>
      </c>
      <c r="P39" s="73" t="str">
        <f ca="1">IF(CELL("type",P$27)="v",IF(P$27=(3*'TCO Calculator Inputs'!$E$36)+1,(-'TCO Calculator Inputs'!$E$42*'TCO Calculator Inputs'!$E$41*'TCO Calculator Inputs'!$E$43)*'TCO Calculator Inputs'!$E$20,""),"")</f>
        <v/>
      </c>
      <c r="Q39" s="73" t="str">
        <f ca="1">IF(CELL("type",Q$27)="v",IF(Q$27=(3*'TCO Calculator Inputs'!$E$36)+1,(-'TCO Calculator Inputs'!$E$42*'TCO Calculator Inputs'!$E$41*'TCO Calculator Inputs'!$E$43)*'TCO Calculator Inputs'!$E$20,""),"")</f>
        <v/>
      </c>
      <c r="R39" s="73" t="str">
        <f ca="1">IF(CELL("type",R$27)="v",IF(R$27=(3*'TCO Calculator Inputs'!$E$36)+1,(-'TCO Calculator Inputs'!$E$42*'TCO Calculator Inputs'!$E$41*'TCO Calculator Inputs'!$E$43)*'TCO Calculator Inputs'!$E$20,""),"")</f>
        <v/>
      </c>
      <c r="S39" s="73" t="str">
        <f ca="1">IF(CELL("type",S$27)="v",IF(S$27=(3*'TCO Calculator Inputs'!$E$36)+1,(-'TCO Calculator Inputs'!$E$42*'TCO Calculator Inputs'!$E$41*'TCO Calculator Inputs'!$E$43)*'TCO Calculator Inputs'!$E$20,""),"")</f>
        <v/>
      </c>
      <c r="T39" s="73" t="str">
        <f ca="1">IF(CELL("type",T$27)="v",IF(T$27=(3*'TCO Calculator Inputs'!$E$36)+1,(-'TCO Calculator Inputs'!$E$42*'TCO Calculator Inputs'!$E$41*'TCO Calculator Inputs'!$E$43)*'TCO Calculator Inputs'!$E$20,""),"")</f>
        <v/>
      </c>
      <c r="U39" s="73" t="str">
        <f ca="1">IF(CELL("type",U$27)="v",IF(U$27=(3*'TCO Calculator Inputs'!$E$36)+1,(-'TCO Calculator Inputs'!$E$42*'TCO Calculator Inputs'!$E$41*'TCO Calculator Inputs'!$E$43)*'TCO Calculator Inputs'!$E$20,""),"")</f>
        <v/>
      </c>
      <c r="V39" s="73" t="str">
        <f ca="1">IF(CELL("type",V$27)="v",IF(V$27=(3*'TCO Calculator Inputs'!$E$36)+1,(-'TCO Calculator Inputs'!$E$42*'TCO Calculator Inputs'!$E$41*'TCO Calculator Inputs'!$E$43)*'TCO Calculator Inputs'!$E$20,""),"")</f>
        <v/>
      </c>
      <c r="W39" s="73" t="str">
        <f ca="1">IF(CELL("type",W$27)="v",IF(W$27=(3*'TCO Calculator Inputs'!$E$36)+1,(-'TCO Calculator Inputs'!$E$42*'TCO Calculator Inputs'!$E$41*'TCO Calculator Inputs'!$E$43)*'TCO Calculator Inputs'!$E$20,""),"")</f>
        <v/>
      </c>
      <c r="X39" s="73" t="str">
        <f ca="1">IF(CELL("type",X$27)="v",IF(X$27=(3*'TCO Calculator Inputs'!$E$36)+1,(-'TCO Calculator Inputs'!$E$42*'TCO Calculator Inputs'!$E$41*'TCO Calculator Inputs'!$E$43)*'TCO Calculator Inputs'!$E$20,""),"")</f>
        <v/>
      </c>
      <c r="Y39" s="73" t="str">
        <f ca="1">IF(CELL("type",Y$27)="v",IF(Y$27=(3*'TCO Calculator Inputs'!$E$36)+1,(-'TCO Calculator Inputs'!$E$42*'TCO Calculator Inputs'!$E$41*'TCO Calculator Inputs'!$E$43)*'TCO Calculator Inputs'!$E$20,""),"")</f>
        <v/>
      </c>
      <c r="Z39" s="73" t="str">
        <f ca="1">IF(CELL("type",Z$27)="v",IF(Z$27=(3*'TCO Calculator Inputs'!$E$36)+1,(-'TCO Calculator Inputs'!$E$42*'TCO Calculator Inputs'!$E$41*'TCO Calculator Inputs'!$E$43)*'TCO Calculator Inputs'!$E$20,""),"")</f>
        <v/>
      </c>
      <c r="AA39" s="73" t="str">
        <f ca="1">IF(CELL("type",AA$27)="v",IF(AA$27=(3*'TCO Calculator Inputs'!$E$36)+1,(-'TCO Calculator Inputs'!$E$42*'TCO Calculator Inputs'!$E$41*'TCO Calculator Inputs'!$E$43)*'TCO Calculator Inputs'!$E$20,""),"")</f>
        <v/>
      </c>
      <c r="AB39" s="73" t="str">
        <f ca="1">IF(CELL("type",AB$27)="v",IF(AB$27=(3*'TCO Calculator Inputs'!$E$36)+1,(-'TCO Calculator Inputs'!$E$42*'TCO Calculator Inputs'!$E$41*'TCO Calculator Inputs'!$E$43)*'TCO Calculator Inputs'!$E$20,""),"")</f>
        <v/>
      </c>
      <c r="AC39" s="73" t="str">
        <f ca="1">IF(CELL("type",AC$27)="v",IF(AC$27=(3*'TCO Calculator Inputs'!$E$36)+1,(-'TCO Calculator Inputs'!$E$42*'TCO Calculator Inputs'!$E$41*'TCO Calculator Inputs'!$E$43)*'TCO Calculator Inputs'!$E$20,""),"")</f>
        <v/>
      </c>
      <c r="AD39" s="73" t="str">
        <f ca="1">IF(CELL("type",AD$27)="v",IF(AD$27=(3*'TCO Calculator Inputs'!$E$36)+1,(-'TCO Calculator Inputs'!$E$42*'TCO Calculator Inputs'!$E$41*'TCO Calculator Inputs'!$E$43)*'TCO Calculator Inputs'!$E$20,""),"")</f>
        <v/>
      </c>
      <c r="AE39" s="73" t="str">
        <f ca="1">IF(CELL("type",AE$27)="v",IF(AE$27=(3*'TCO Calculator Inputs'!$E$36)+1,(-'TCO Calculator Inputs'!$E$42*'TCO Calculator Inputs'!$E$41*'TCO Calculator Inputs'!$E$43)*'TCO Calculator Inputs'!$E$20,""),"")</f>
        <v/>
      </c>
      <c r="AF39" s="73" t="str">
        <f ca="1">IF(CELL("type",AF$27)="v",IF(AF$27=(3*'TCO Calculator Inputs'!$E$36)+1,(-'TCO Calculator Inputs'!$E$42*'TCO Calculator Inputs'!$E$41*'TCO Calculator Inputs'!$E$43)*'TCO Calculator Inputs'!$E$20,""),"")</f>
        <v/>
      </c>
      <c r="AG39" s="73" t="str">
        <f ca="1">IF(CELL("type",AG$27)="v",IF(AG$27=(3*'TCO Calculator Inputs'!$E$36)+1,(-'TCO Calculator Inputs'!$E$42*'TCO Calculator Inputs'!$E$41*'TCO Calculator Inputs'!$E$43)*'TCO Calculator Inputs'!$E$20,""),"")</f>
        <v/>
      </c>
    </row>
    <row r="40" spans="2:33" x14ac:dyDescent="0.25">
      <c r="B40" s="78" t="str">
        <f>IF('TCO Calculator Inputs'!$E$19/'TCO Calculator Inputs'!$E$36&gt;=4,"Fourth Battery Replacement Cost","")</f>
        <v/>
      </c>
      <c r="C40" s="74"/>
      <c r="D40" s="73" t="str">
        <f ca="1">IF(CELL("type",D$27)="v",IF(D$27=(4*'TCO Calculator Inputs'!$E$36)+1,(-'TCO Calculator Inputs'!$E$42*'TCO Calculator Inputs'!$E$41*'TCO Calculator Inputs'!$E$43)*'TCO Calculator Inputs'!$E$20,""),"")</f>
        <v/>
      </c>
      <c r="E40" s="73" t="str">
        <f ca="1">IF(CELL("type",E$27)="v",IF(E$27=(4*'TCO Calculator Inputs'!$E$36)+1,(-'TCO Calculator Inputs'!$E$42*'TCO Calculator Inputs'!$E$41*'TCO Calculator Inputs'!$E$43)*'TCO Calculator Inputs'!$E$20,""),"")</f>
        <v/>
      </c>
      <c r="F40" s="73" t="str">
        <f ca="1">IF(CELL("type",F$27)="v",IF(F$27=(4*'TCO Calculator Inputs'!$E$36)+1,(-'TCO Calculator Inputs'!$E$42*'TCO Calculator Inputs'!$E$41*'TCO Calculator Inputs'!$E$43)*'TCO Calculator Inputs'!$E$20,""),"")</f>
        <v/>
      </c>
      <c r="G40" s="73" t="str">
        <f ca="1">IF(CELL("type",G$27)="v",IF(G$27=(4*'TCO Calculator Inputs'!$E$36)+1,(-'TCO Calculator Inputs'!$E$42*'TCO Calculator Inputs'!$E$41*'TCO Calculator Inputs'!$E$43)*'TCO Calculator Inputs'!$E$20,""),"")</f>
        <v/>
      </c>
      <c r="H40" s="73" t="str">
        <f ca="1">IF(CELL("type",H$27)="v",IF(H$27=(4*'TCO Calculator Inputs'!$E$36)+1,(-'TCO Calculator Inputs'!$E$42*'TCO Calculator Inputs'!$E$41*'TCO Calculator Inputs'!$E$43)*'TCO Calculator Inputs'!$E$20,""),"")</f>
        <v/>
      </c>
      <c r="I40" s="73" t="str">
        <f ca="1">IF(CELL("type",I$27)="v",IF(I$27=(4*'TCO Calculator Inputs'!$E$36)+1,(-'TCO Calculator Inputs'!$E$42*'TCO Calculator Inputs'!$E$41*'TCO Calculator Inputs'!$E$43)*'TCO Calculator Inputs'!$E$20,""),"")</f>
        <v/>
      </c>
      <c r="J40" s="73" t="str">
        <f ca="1">IF(CELL("type",J$27)="v",IF(J$27=(4*'TCO Calculator Inputs'!$E$36)+1,(-'TCO Calculator Inputs'!$E$42*'TCO Calculator Inputs'!$E$41*'TCO Calculator Inputs'!$E$43)*'TCO Calculator Inputs'!$E$20,""),"")</f>
        <v/>
      </c>
      <c r="K40" s="73" t="str">
        <f ca="1">IF(CELL("type",K$27)="v",IF(K$27=(4*'TCO Calculator Inputs'!$E$36)+1,(-'TCO Calculator Inputs'!$E$42*'TCO Calculator Inputs'!$E$41*'TCO Calculator Inputs'!$E$43)*'TCO Calculator Inputs'!$E$20,""),"")</f>
        <v/>
      </c>
      <c r="L40" s="73" t="str">
        <f ca="1">IF(CELL("type",L$27)="v",IF(L$27=(4*'TCO Calculator Inputs'!$E$36)+1,(-'TCO Calculator Inputs'!$E$42*'TCO Calculator Inputs'!$E$41*'TCO Calculator Inputs'!$E$43)*'TCO Calculator Inputs'!$E$20,""),"")</f>
        <v/>
      </c>
      <c r="M40" s="73" t="str">
        <f ca="1">IF(CELL("type",M$27)="v",IF(M$27=(4*'TCO Calculator Inputs'!$E$36)+1,(-'TCO Calculator Inputs'!$E$42*'TCO Calculator Inputs'!$E$41*'TCO Calculator Inputs'!$E$43)*'TCO Calculator Inputs'!$E$20,""),"")</f>
        <v/>
      </c>
      <c r="N40" s="73" t="str">
        <f ca="1">IF(CELL("type",N$27)="v",IF(N$27=(4*'TCO Calculator Inputs'!$E$36)+1,(-'TCO Calculator Inputs'!$E$42*'TCO Calculator Inputs'!$E$41*'TCO Calculator Inputs'!$E$43)*'TCO Calculator Inputs'!$E$20,""),"")</f>
        <v/>
      </c>
      <c r="O40" s="73" t="str">
        <f ca="1">IF(CELL("type",O$27)="v",IF(O$27=(4*'TCO Calculator Inputs'!$E$36)+1,(-'TCO Calculator Inputs'!$E$42*'TCO Calculator Inputs'!$E$41*'TCO Calculator Inputs'!$E$43)*'TCO Calculator Inputs'!$E$20,""),"")</f>
        <v/>
      </c>
      <c r="P40" s="73" t="str">
        <f ca="1">IF(CELL("type",P$27)="v",IF(P$27=(4*'TCO Calculator Inputs'!$E$36)+1,(-'TCO Calculator Inputs'!$E$42*'TCO Calculator Inputs'!$E$41*'TCO Calculator Inputs'!$E$43)*'TCO Calculator Inputs'!$E$20,""),"")</f>
        <v/>
      </c>
      <c r="Q40" s="73" t="str">
        <f ca="1">IF(CELL("type",Q$27)="v",IF(Q$27=(4*'TCO Calculator Inputs'!$E$36)+1,(-'TCO Calculator Inputs'!$E$42*'TCO Calculator Inputs'!$E$41*'TCO Calculator Inputs'!$E$43)*'TCO Calculator Inputs'!$E$20,""),"")</f>
        <v/>
      </c>
      <c r="R40" s="73" t="str">
        <f ca="1">IF(CELL("type",R$27)="v",IF(R$27=(4*'TCO Calculator Inputs'!$E$36)+1,(-'TCO Calculator Inputs'!$E$42*'TCO Calculator Inputs'!$E$41*'TCO Calculator Inputs'!$E$43)*'TCO Calculator Inputs'!$E$20,""),"")</f>
        <v/>
      </c>
      <c r="S40" s="73" t="str">
        <f ca="1">IF(CELL("type",S$27)="v",IF(S$27=(4*'TCO Calculator Inputs'!$E$36)+1,(-'TCO Calculator Inputs'!$E$42*'TCO Calculator Inputs'!$E$41*'TCO Calculator Inputs'!$E$43)*'TCO Calculator Inputs'!$E$20,""),"")</f>
        <v/>
      </c>
      <c r="T40" s="73" t="str">
        <f ca="1">IF(CELL("type",T$27)="v",IF(T$27=(4*'TCO Calculator Inputs'!$E$36)+1,(-'TCO Calculator Inputs'!$E$42*'TCO Calculator Inputs'!$E$41*'TCO Calculator Inputs'!$E$43)*'TCO Calculator Inputs'!$E$20,""),"")</f>
        <v/>
      </c>
      <c r="U40" s="73" t="str">
        <f ca="1">IF(CELL("type",U$27)="v",IF(U$27=(4*'TCO Calculator Inputs'!$E$36)+1,(-'TCO Calculator Inputs'!$E$42*'TCO Calculator Inputs'!$E$41*'TCO Calculator Inputs'!$E$43)*'TCO Calculator Inputs'!$E$20,""),"")</f>
        <v/>
      </c>
      <c r="V40" s="73" t="str">
        <f ca="1">IF(CELL("type",V$27)="v",IF(V$27=(4*'TCO Calculator Inputs'!$E$36)+1,(-'TCO Calculator Inputs'!$E$42*'TCO Calculator Inputs'!$E$41*'TCO Calculator Inputs'!$E$43)*'TCO Calculator Inputs'!$E$20,""),"")</f>
        <v/>
      </c>
      <c r="W40" s="73" t="str">
        <f ca="1">IF(CELL("type",W$27)="v",IF(W$27=(4*'TCO Calculator Inputs'!$E$36)+1,(-'TCO Calculator Inputs'!$E$42*'TCO Calculator Inputs'!$E$41*'TCO Calculator Inputs'!$E$43)*'TCO Calculator Inputs'!$E$20,""),"")</f>
        <v/>
      </c>
      <c r="X40" s="73" t="str">
        <f ca="1">IF(CELL("type",X$27)="v",IF(X$27=(4*'TCO Calculator Inputs'!$E$36)+1,(-'TCO Calculator Inputs'!$E$42*'TCO Calculator Inputs'!$E$41*'TCO Calculator Inputs'!$E$43)*'TCO Calculator Inputs'!$E$20,""),"")</f>
        <v/>
      </c>
      <c r="Y40" s="73" t="str">
        <f ca="1">IF(CELL("type",Y$27)="v",IF(Y$27=(4*'TCO Calculator Inputs'!$E$36)+1,(-'TCO Calculator Inputs'!$E$42*'TCO Calculator Inputs'!$E$41*'TCO Calculator Inputs'!$E$43)*'TCO Calculator Inputs'!$E$20,""),"")</f>
        <v/>
      </c>
      <c r="Z40" s="73" t="str">
        <f ca="1">IF(CELL("type",Z$27)="v",IF(Z$27=(4*'TCO Calculator Inputs'!$E$36)+1,(-'TCO Calculator Inputs'!$E$42*'TCO Calculator Inputs'!$E$41*'TCO Calculator Inputs'!$E$43)*'TCO Calculator Inputs'!$E$20,""),"")</f>
        <v/>
      </c>
      <c r="AA40" s="73" t="str">
        <f ca="1">IF(CELL("type",AA$27)="v",IF(AA$27=(4*'TCO Calculator Inputs'!$E$36)+1,(-'TCO Calculator Inputs'!$E$42*'TCO Calculator Inputs'!$E$41*'TCO Calculator Inputs'!$E$43)*'TCO Calculator Inputs'!$E$20,""),"")</f>
        <v/>
      </c>
      <c r="AB40" s="73" t="str">
        <f ca="1">IF(CELL("type",AB$27)="v",IF(AB$27=(4*'TCO Calculator Inputs'!$E$36)+1,(-'TCO Calculator Inputs'!$E$42*'TCO Calculator Inputs'!$E$41*'TCO Calculator Inputs'!$E$43)*'TCO Calculator Inputs'!$E$20,""),"")</f>
        <v/>
      </c>
      <c r="AC40" s="73" t="str">
        <f ca="1">IF(CELL("type",AC$27)="v",IF(AC$27=(4*'TCO Calculator Inputs'!$E$36)+1,(-'TCO Calculator Inputs'!$E$42*'TCO Calculator Inputs'!$E$41*'TCO Calculator Inputs'!$E$43)*'TCO Calculator Inputs'!$E$20,""),"")</f>
        <v/>
      </c>
      <c r="AD40" s="73" t="str">
        <f ca="1">IF(CELL("type",AD$27)="v",IF(AD$27=(4*'TCO Calculator Inputs'!$E$36)+1,(-'TCO Calculator Inputs'!$E$42*'TCO Calculator Inputs'!$E$41*'TCO Calculator Inputs'!$E$43)*'TCO Calculator Inputs'!$E$20,""),"")</f>
        <v/>
      </c>
      <c r="AE40" s="73" t="str">
        <f ca="1">IF(CELL("type",AE$27)="v",IF(AE$27=(4*'TCO Calculator Inputs'!$E$36)+1,(-'TCO Calculator Inputs'!$E$42*'TCO Calculator Inputs'!$E$41*'TCO Calculator Inputs'!$E$43)*'TCO Calculator Inputs'!$E$20,""),"")</f>
        <v/>
      </c>
      <c r="AF40" s="73" t="str">
        <f ca="1">IF(CELL("type",AF$27)="v",IF(AF$27=(4*'TCO Calculator Inputs'!$E$36)+1,(-'TCO Calculator Inputs'!$E$42*'TCO Calculator Inputs'!$E$41*'TCO Calculator Inputs'!$E$43)*'TCO Calculator Inputs'!$E$20,""),"")</f>
        <v/>
      </c>
      <c r="AG40" s="73" t="str">
        <f ca="1">IF(CELL("type",AG$27)="v",IF(AG$27=(4*'TCO Calculator Inputs'!$E$36)+1,(-'TCO Calculator Inputs'!$E$42*'TCO Calculator Inputs'!$E$41*'TCO Calculator Inputs'!$E$43)*'TCO Calculator Inputs'!$E$20,""),"")</f>
        <v/>
      </c>
    </row>
    <row r="41" spans="2:33" x14ac:dyDescent="0.25">
      <c r="B41" s="78" t="str">
        <f>IF('TCO Calculator Inputs'!$E$19/'TCO Calculator Inputs'!$E$36&gt;=5,"Fifth Battery Replacement Cost","")</f>
        <v/>
      </c>
      <c r="C41" s="74"/>
      <c r="D41" s="73" t="str">
        <f ca="1">IF(CELL("type",D$27)="v",IF(D$27=(5*'TCO Calculator Inputs'!$E$36)+1,(-'TCO Calculator Inputs'!$E$42*'TCO Calculator Inputs'!$E$41*'TCO Calculator Inputs'!$E$43)*'TCO Calculator Inputs'!$E$20,""),"")</f>
        <v/>
      </c>
      <c r="E41" s="73" t="str">
        <f ca="1">IF(CELL("type",E$27)="v",IF(E$27=(5*'TCO Calculator Inputs'!$E$36)+1,(-'TCO Calculator Inputs'!$E$42*'TCO Calculator Inputs'!$E$41*'TCO Calculator Inputs'!$E$43)*'TCO Calculator Inputs'!$E$20,""),"")</f>
        <v/>
      </c>
      <c r="F41" s="73" t="str">
        <f ca="1">IF(CELL("type",F$27)="v",IF(F$27=(5*'TCO Calculator Inputs'!$E$36)+1,(-'TCO Calculator Inputs'!$E$42*'TCO Calculator Inputs'!$E$41*'TCO Calculator Inputs'!$E$43)*'TCO Calculator Inputs'!$E$20,""),"")</f>
        <v/>
      </c>
      <c r="G41" s="73" t="str">
        <f ca="1">IF(CELL("type",G$27)="v",IF(G$27=(5*'TCO Calculator Inputs'!$E$36)+1,(-'TCO Calculator Inputs'!$E$42*'TCO Calculator Inputs'!$E$41*'TCO Calculator Inputs'!$E$43)*'TCO Calculator Inputs'!$E$20,""),"")</f>
        <v/>
      </c>
      <c r="H41" s="73" t="str">
        <f ca="1">IF(CELL("type",H$27)="v",IF(H$27=(5*'TCO Calculator Inputs'!$E$36)+1,(-'TCO Calculator Inputs'!$E$42*'TCO Calculator Inputs'!$E$41*'TCO Calculator Inputs'!$E$43)*'TCO Calculator Inputs'!$E$20,""),"")</f>
        <v/>
      </c>
      <c r="I41" s="73" t="str">
        <f ca="1">IF(CELL("type",I$27)="v",IF(I$27=(5*'TCO Calculator Inputs'!$E$36)+1,(-'TCO Calculator Inputs'!$E$42*'TCO Calculator Inputs'!$E$41*'TCO Calculator Inputs'!$E$43)*'TCO Calculator Inputs'!$E$20,""),"")</f>
        <v/>
      </c>
      <c r="J41" s="73" t="str">
        <f ca="1">IF(CELL("type",J$27)="v",IF(J$27=(5*'TCO Calculator Inputs'!$E$36)+1,(-'TCO Calculator Inputs'!$E$42*'TCO Calculator Inputs'!$E$41*'TCO Calculator Inputs'!$E$43)*'TCO Calculator Inputs'!$E$20,""),"")</f>
        <v/>
      </c>
      <c r="K41" s="73" t="str">
        <f ca="1">IF(CELL("type",K$27)="v",IF(K$27=(5*'TCO Calculator Inputs'!$E$36)+1,(-'TCO Calculator Inputs'!$E$42*'TCO Calculator Inputs'!$E$41*'TCO Calculator Inputs'!$E$43)*'TCO Calculator Inputs'!$E$20,""),"")</f>
        <v/>
      </c>
      <c r="L41" s="73" t="str">
        <f ca="1">IF(CELL("type",L$27)="v",IF(L$27=(5*'TCO Calculator Inputs'!$E$36)+1,(-'TCO Calculator Inputs'!$E$42*'TCO Calculator Inputs'!$E$41*'TCO Calculator Inputs'!$E$43)*'TCO Calculator Inputs'!$E$20,""),"")</f>
        <v/>
      </c>
      <c r="M41" s="73" t="str">
        <f ca="1">IF(CELL("type",M$27)="v",IF(M$27=(5*'TCO Calculator Inputs'!$E$36)+1,(-'TCO Calculator Inputs'!$E$42*'TCO Calculator Inputs'!$E$41*'TCO Calculator Inputs'!$E$43)*'TCO Calculator Inputs'!$E$20,""),"")</f>
        <v/>
      </c>
      <c r="N41" s="73" t="str">
        <f ca="1">IF(CELL("type",N$27)="v",IF(N$27=(5*'TCO Calculator Inputs'!$E$36)+1,(-'TCO Calculator Inputs'!$E$42*'TCO Calculator Inputs'!$E$41*'TCO Calculator Inputs'!$E$43)*'TCO Calculator Inputs'!$E$20,""),"")</f>
        <v/>
      </c>
      <c r="O41" s="73" t="str">
        <f ca="1">IF(CELL("type",O$27)="v",IF(O$27=(5*'TCO Calculator Inputs'!$E$36)+1,(-'TCO Calculator Inputs'!$E$42*'TCO Calculator Inputs'!$E$41*'TCO Calculator Inputs'!$E$43)*'TCO Calculator Inputs'!$E$20,""),"")</f>
        <v/>
      </c>
      <c r="P41" s="73" t="str">
        <f ca="1">IF(CELL("type",P$27)="v",IF(P$27=(5*'TCO Calculator Inputs'!$E$36)+1,(-'TCO Calculator Inputs'!$E$42*'TCO Calculator Inputs'!$E$41*'TCO Calculator Inputs'!$E$43)*'TCO Calculator Inputs'!$E$20,""),"")</f>
        <v/>
      </c>
      <c r="Q41" s="73" t="str">
        <f ca="1">IF(CELL("type",Q$27)="v",IF(Q$27=(5*'TCO Calculator Inputs'!$E$36)+1,(-'TCO Calculator Inputs'!$E$42*'TCO Calculator Inputs'!$E$41*'TCO Calculator Inputs'!$E$43)*'TCO Calculator Inputs'!$E$20,""),"")</f>
        <v/>
      </c>
      <c r="R41" s="73" t="str">
        <f ca="1">IF(CELL("type",R$27)="v",IF(R$27=(5*'TCO Calculator Inputs'!$E$36)+1,(-'TCO Calculator Inputs'!$E$42*'TCO Calculator Inputs'!$E$41*'TCO Calculator Inputs'!$E$43)*'TCO Calculator Inputs'!$E$20,""),"")</f>
        <v/>
      </c>
      <c r="S41" s="73" t="str">
        <f ca="1">IF(CELL("type",S$27)="v",IF(S$27=(5*'TCO Calculator Inputs'!$E$36)+1,(-'TCO Calculator Inputs'!$E$42*'TCO Calculator Inputs'!$E$41*'TCO Calculator Inputs'!$E$43)*'TCO Calculator Inputs'!$E$20,""),"")</f>
        <v/>
      </c>
      <c r="T41" s="73" t="str">
        <f ca="1">IF(CELL("type",T$27)="v",IF(T$27=(5*'TCO Calculator Inputs'!$E$36)+1,(-'TCO Calculator Inputs'!$E$42*'TCO Calculator Inputs'!$E$41*'TCO Calculator Inputs'!$E$43)*'TCO Calculator Inputs'!$E$20,""),"")</f>
        <v/>
      </c>
      <c r="U41" s="73" t="str">
        <f ca="1">IF(CELL("type",U$27)="v",IF(U$27=(5*'TCO Calculator Inputs'!$E$36)+1,(-'TCO Calculator Inputs'!$E$42*'TCO Calculator Inputs'!$E$41*'TCO Calculator Inputs'!$E$43)*'TCO Calculator Inputs'!$E$20,""),"")</f>
        <v/>
      </c>
      <c r="V41" s="73" t="str">
        <f ca="1">IF(CELL("type",V$27)="v",IF(V$27=(5*'TCO Calculator Inputs'!$E$36)+1,(-'TCO Calculator Inputs'!$E$42*'TCO Calculator Inputs'!$E$41*'TCO Calculator Inputs'!$E$43)*'TCO Calculator Inputs'!$E$20,""),"")</f>
        <v/>
      </c>
      <c r="W41" s="73" t="str">
        <f ca="1">IF(CELL("type",W$27)="v",IF(W$27=(5*'TCO Calculator Inputs'!$E$36)+1,(-'TCO Calculator Inputs'!$E$42*'TCO Calculator Inputs'!$E$41*'TCO Calculator Inputs'!$E$43)*'TCO Calculator Inputs'!$E$20,""),"")</f>
        <v/>
      </c>
      <c r="X41" s="73" t="str">
        <f ca="1">IF(CELL("type",X$27)="v",IF(X$27=(5*'TCO Calculator Inputs'!$E$36)+1,(-'TCO Calculator Inputs'!$E$42*'TCO Calculator Inputs'!$E$41*'TCO Calculator Inputs'!$E$43)*'TCO Calculator Inputs'!$E$20,""),"")</f>
        <v/>
      </c>
      <c r="Y41" s="73" t="str">
        <f ca="1">IF(CELL("type",Y$27)="v",IF(Y$27=(5*'TCO Calculator Inputs'!$E$36)+1,(-'TCO Calculator Inputs'!$E$42*'TCO Calculator Inputs'!$E$41*'TCO Calculator Inputs'!$E$43)*'TCO Calculator Inputs'!$E$20,""),"")</f>
        <v/>
      </c>
      <c r="Z41" s="73" t="str">
        <f ca="1">IF(CELL("type",Z$27)="v",IF(Z$27=(5*'TCO Calculator Inputs'!$E$36)+1,(-'TCO Calculator Inputs'!$E$42*'TCO Calculator Inputs'!$E$41*'TCO Calculator Inputs'!$E$43)*'TCO Calculator Inputs'!$E$20,""),"")</f>
        <v/>
      </c>
      <c r="AA41" s="73" t="str">
        <f ca="1">IF(CELL("type",AA$27)="v",IF(AA$27=(5*'TCO Calculator Inputs'!$E$36)+1,(-'TCO Calculator Inputs'!$E$42*'TCO Calculator Inputs'!$E$41*'TCO Calculator Inputs'!$E$43)*'TCO Calculator Inputs'!$E$20,""),"")</f>
        <v/>
      </c>
      <c r="AB41" s="73" t="str">
        <f ca="1">IF(CELL("type",AB$27)="v",IF(AB$27=(5*'TCO Calculator Inputs'!$E$36)+1,(-'TCO Calculator Inputs'!$E$42*'TCO Calculator Inputs'!$E$41*'TCO Calculator Inputs'!$E$43)*'TCO Calculator Inputs'!$E$20,""),"")</f>
        <v/>
      </c>
      <c r="AC41" s="73" t="str">
        <f ca="1">IF(CELL("type",AC$27)="v",IF(AC$27=(5*'TCO Calculator Inputs'!$E$36)+1,(-'TCO Calculator Inputs'!$E$42*'TCO Calculator Inputs'!$E$41*'TCO Calculator Inputs'!$E$43)*'TCO Calculator Inputs'!$E$20,""),"")</f>
        <v/>
      </c>
      <c r="AD41" s="73" t="str">
        <f ca="1">IF(CELL("type",AD$27)="v",IF(AD$27=(5*'TCO Calculator Inputs'!$E$36)+1,(-'TCO Calculator Inputs'!$E$42*'TCO Calculator Inputs'!$E$41*'TCO Calculator Inputs'!$E$43)*'TCO Calculator Inputs'!$E$20,""),"")</f>
        <v/>
      </c>
      <c r="AE41" s="73" t="str">
        <f ca="1">IF(CELL("type",AE$27)="v",IF(AE$27=(5*'TCO Calculator Inputs'!$E$36)+1,(-'TCO Calculator Inputs'!$E$42*'TCO Calculator Inputs'!$E$41*'TCO Calculator Inputs'!$E$43)*'TCO Calculator Inputs'!$E$20,""),"")</f>
        <v/>
      </c>
      <c r="AF41" s="73" t="str">
        <f ca="1">IF(CELL("type",AF$27)="v",IF(AF$27=(5*'TCO Calculator Inputs'!$E$36)+1,(-'TCO Calculator Inputs'!$E$42*'TCO Calculator Inputs'!$E$41*'TCO Calculator Inputs'!$E$43)*'TCO Calculator Inputs'!$E$20,""),"")</f>
        <v/>
      </c>
      <c r="AG41" s="73" t="str">
        <f ca="1">IF(CELL("type",AG$27)="v",IF(AG$27=(5*'TCO Calculator Inputs'!$E$36)+1,(-'TCO Calculator Inputs'!$E$42*'TCO Calculator Inputs'!$E$41*'TCO Calculator Inputs'!$E$43)*'TCO Calculator Inputs'!$E$20,""),"")</f>
        <v/>
      </c>
    </row>
    <row r="42" spans="2:33" x14ac:dyDescent="0.25">
      <c r="B42" s="46" t="s">
        <v>118</v>
      </c>
      <c r="C42" s="74"/>
      <c r="D42" s="73">
        <f ca="1" xml:space="preserve"> IF(CELL("type",D$27)="v",('TCO Calculator Inputs'!$E$56*'TCO Calculator Inputs'!$E$47/'TCO Calculator Inputs'!$E$19)*'TCO Calculator Inputs'!$E$20,"")</f>
        <v>160</v>
      </c>
      <c r="E42" s="73">
        <f ca="1" xml:space="preserve"> IF(CELL("type",E$27)="v",('TCO Calculator Inputs'!$E$56*'TCO Calculator Inputs'!$E$47/'TCO Calculator Inputs'!$E$19)*'TCO Calculator Inputs'!$E$20,"")</f>
        <v>160</v>
      </c>
      <c r="F42" s="73">
        <f ca="1" xml:space="preserve"> IF(CELL("type",F$27)="v",('TCO Calculator Inputs'!$E$56*'TCO Calculator Inputs'!$E$47/'TCO Calculator Inputs'!$E$19)*'TCO Calculator Inputs'!$E$20,"")</f>
        <v>160</v>
      </c>
      <c r="G42" s="73">
        <f ca="1" xml:space="preserve"> IF(CELL("type",G$27)="v",('TCO Calculator Inputs'!$E$56*'TCO Calculator Inputs'!$E$47/'TCO Calculator Inputs'!$E$19)*'TCO Calculator Inputs'!$E$20,"")</f>
        <v>160</v>
      </c>
      <c r="H42" s="73">
        <f ca="1" xml:space="preserve"> IF(CELL("type",H$27)="v",('TCO Calculator Inputs'!$E$56*'TCO Calculator Inputs'!$E$47/'TCO Calculator Inputs'!$E$19)*'TCO Calculator Inputs'!$E$20,"")</f>
        <v>160</v>
      </c>
      <c r="I42" s="73">
        <f ca="1" xml:space="preserve"> IF(CELL("type",I$27)="v",('TCO Calculator Inputs'!$E$56*'TCO Calculator Inputs'!$E$47/'TCO Calculator Inputs'!$E$19)*'TCO Calculator Inputs'!$E$20,"")</f>
        <v>160</v>
      </c>
      <c r="J42" s="73">
        <f ca="1" xml:space="preserve"> IF(CELL("type",J$27)="v",('TCO Calculator Inputs'!$E$56*'TCO Calculator Inputs'!$E$47/'TCO Calculator Inputs'!$E$19)*'TCO Calculator Inputs'!$E$20,"")</f>
        <v>160</v>
      </c>
      <c r="K42" s="73">
        <f ca="1" xml:space="preserve"> IF(CELL("type",K$27)="v",('TCO Calculator Inputs'!$E$56*'TCO Calculator Inputs'!$E$47/'TCO Calculator Inputs'!$E$19)*'TCO Calculator Inputs'!$E$20,"")</f>
        <v>160</v>
      </c>
      <c r="L42" s="73">
        <f ca="1" xml:space="preserve"> IF(CELL("type",L$27)="v",('TCO Calculator Inputs'!$E$56*'TCO Calculator Inputs'!$E$47/'TCO Calculator Inputs'!$E$19)*'TCO Calculator Inputs'!$E$20,"")</f>
        <v>160</v>
      </c>
      <c r="M42" s="73">
        <f ca="1" xml:space="preserve"> IF(CELL("type",M$27)="v",('TCO Calculator Inputs'!$E$56*'TCO Calculator Inputs'!$E$47/'TCO Calculator Inputs'!$E$19)*'TCO Calculator Inputs'!$E$20,"")</f>
        <v>160</v>
      </c>
      <c r="N42" s="73" t="str">
        <f ca="1" xml:space="preserve"> IF(CELL("type",N$27)="v",('TCO Calculator Inputs'!$E$56*'TCO Calculator Inputs'!$E$47/'TCO Calculator Inputs'!$E$19)*'TCO Calculator Inputs'!$E$20,"")</f>
        <v/>
      </c>
      <c r="O42" s="73" t="str">
        <f ca="1" xml:space="preserve"> IF(CELL("type",O$27)="v",('TCO Calculator Inputs'!$E$56*'TCO Calculator Inputs'!$E$47/'TCO Calculator Inputs'!$E$19)*'TCO Calculator Inputs'!$E$20,"")</f>
        <v/>
      </c>
      <c r="P42" s="73" t="str">
        <f ca="1" xml:space="preserve"> IF(CELL("type",P$27)="v",('TCO Calculator Inputs'!$E$56*'TCO Calculator Inputs'!$E$47/'TCO Calculator Inputs'!$E$19)*'TCO Calculator Inputs'!$E$20,"")</f>
        <v/>
      </c>
      <c r="Q42" s="73" t="str">
        <f ca="1" xml:space="preserve"> IF(CELL("type",Q$27)="v",('TCO Calculator Inputs'!$E$56*'TCO Calculator Inputs'!$E$47/'TCO Calculator Inputs'!$E$19)*'TCO Calculator Inputs'!$E$20,"")</f>
        <v/>
      </c>
      <c r="R42" s="73" t="str">
        <f ca="1" xml:space="preserve"> IF(CELL("type",R$27)="v",('TCO Calculator Inputs'!$E$56*'TCO Calculator Inputs'!$E$47/'TCO Calculator Inputs'!$E$19)*'TCO Calculator Inputs'!$E$20,"")</f>
        <v/>
      </c>
      <c r="S42" s="73" t="str">
        <f ca="1" xml:space="preserve"> IF(CELL("type",S$27)="v",('TCO Calculator Inputs'!$E$56*'TCO Calculator Inputs'!$E$47/'TCO Calculator Inputs'!$E$19)*'TCO Calculator Inputs'!$E$20,"")</f>
        <v/>
      </c>
      <c r="T42" s="73" t="str">
        <f ca="1" xml:space="preserve"> IF(CELL("type",T$27)="v",('TCO Calculator Inputs'!$E$56*'TCO Calculator Inputs'!$E$47/'TCO Calculator Inputs'!$E$19)*'TCO Calculator Inputs'!$E$20,"")</f>
        <v/>
      </c>
      <c r="U42" s="73" t="str">
        <f ca="1" xml:space="preserve"> IF(CELL("type",U$27)="v",('TCO Calculator Inputs'!$E$56*'TCO Calculator Inputs'!$E$47/'TCO Calculator Inputs'!$E$19)*'TCO Calculator Inputs'!$E$20,"")</f>
        <v/>
      </c>
      <c r="V42" s="73" t="str">
        <f ca="1" xml:space="preserve"> IF(CELL("type",V$27)="v",('TCO Calculator Inputs'!$E$56*'TCO Calculator Inputs'!$E$47/'TCO Calculator Inputs'!$E$19)*'TCO Calculator Inputs'!$E$20,"")</f>
        <v/>
      </c>
      <c r="W42" s="73" t="str">
        <f ca="1" xml:space="preserve"> IF(CELL("type",W$27)="v",('TCO Calculator Inputs'!$E$56*'TCO Calculator Inputs'!$E$47/'TCO Calculator Inputs'!$E$19)*'TCO Calculator Inputs'!$E$20,"")</f>
        <v/>
      </c>
      <c r="X42" s="73" t="str">
        <f ca="1" xml:space="preserve"> IF(CELL("type",X$27)="v",('TCO Calculator Inputs'!$E$56*'TCO Calculator Inputs'!$E$47/'TCO Calculator Inputs'!$E$19)*'TCO Calculator Inputs'!$E$20,"")</f>
        <v/>
      </c>
      <c r="Y42" s="73" t="str">
        <f ca="1" xml:space="preserve"> IF(CELL("type",Y$27)="v",('TCO Calculator Inputs'!$E$56*'TCO Calculator Inputs'!$E$47/'TCO Calculator Inputs'!$E$19)*'TCO Calculator Inputs'!$E$20,"")</f>
        <v/>
      </c>
      <c r="Z42" s="73" t="str">
        <f ca="1" xml:space="preserve"> IF(CELL("type",Z$27)="v",('TCO Calculator Inputs'!$E$56*'TCO Calculator Inputs'!$E$47/'TCO Calculator Inputs'!$E$19)*'TCO Calculator Inputs'!$E$20,"")</f>
        <v/>
      </c>
      <c r="AA42" s="73" t="str">
        <f ca="1" xml:space="preserve"> IF(CELL("type",AA$27)="v",('TCO Calculator Inputs'!$E$56*'TCO Calculator Inputs'!$E$47/'TCO Calculator Inputs'!$E$19)*'TCO Calculator Inputs'!$E$20,"")</f>
        <v/>
      </c>
      <c r="AB42" s="73" t="str">
        <f ca="1" xml:space="preserve"> IF(CELL("type",AB$27)="v",('TCO Calculator Inputs'!$E$56*'TCO Calculator Inputs'!$E$47/'TCO Calculator Inputs'!$E$19)*'TCO Calculator Inputs'!$E$20,"")</f>
        <v/>
      </c>
      <c r="AC42" s="73" t="str">
        <f ca="1" xml:space="preserve"> IF(CELL("type",AC$27)="v",('TCO Calculator Inputs'!$E$56*'TCO Calculator Inputs'!$E$47/'TCO Calculator Inputs'!$E$19)*'TCO Calculator Inputs'!$E$20,"")</f>
        <v/>
      </c>
      <c r="AD42" s="73" t="str">
        <f ca="1" xml:space="preserve"> IF(CELL("type",AD$27)="v",('TCO Calculator Inputs'!$E$56*'TCO Calculator Inputs'!$E$47/'TCO Calculator Inputs'!$E$19)*'TCO Calculator Inputs'!$E$20,"")</f>
        <v/>
      </c>
      <c r="AE42" s="73" t="str">
        <f ca="1" xml:space="preserve"> IF(CELL("type",AE$27)="v",('TCO Calculator Inputs'!$E$56*'TCO Calculator Inputs'!$E$47/'TCO Calculator Inputs'!$E$19)*'TCO Calculator Inputs'!$E$20,"")</f>
        <v/>
      </c>
      <c r="AF42" s="73" t="str">
        <f ca="1" xml:space="preserve"> IF(CELL("type",AF$27)="v",('TCO Calculator Inputs'!$E$56*'TCO Calculator Inputs'!$E$47/'TCO Calculator Inputs'!$E$19)*'TCO Calculator Inputs'!$E$20,"")</f>
        <v/>
      </c>
      <c r="AG42" s="73" t="str">
        <f ca="1" xml:space="preserve"> IF(CELL("type",AG$27)="v",('TCO Calculator Inputs'!$E$56*'TCO Calculator Inputs'!$E$47/'TCO Calculator Inputs'!$E$19)*'TCO Calculator Inputs'!$E$20,"")</f>
        <v/>
      </c>
    </row>
    <row r="43" spans="2:33" x14ac:dyDescent="0.25">
      <c r="B43" s="46" t="s">
        <v>119</v>
      </c>
      <c r="C43" s="74"/>
      <c r="D43" s="73">
        <f ca="1" xml:space="preserve"> IF(CELL("type",D$27)="v",('TCO Calculator Inputs'!$E$57*'TCO Calculator Inputs'!$E$47/'TCO Calculator Inputs'!$E$19)*'TCO Calculator Inputs'!$E$20,"")</f>
        <v>160</v>
      </c>
      <c r="E43" s="73">
        <f ca="1" xml:space="preserve"> IF(CELL("type",E$27)="v",('TCO Calculator Inputs'!$E$57*'TCO Calculator Inputs'!$E$47/'TCO Calculator Inputs'!$E$19)*'TCO Calculator Inputs'!$E$20,"")</f>
        <v>160</v>
      </c>
      <c r="F43" s="73">
        <f ca="1" xml:space="preserve"> IF(CELL("type",F$27)="v",('TCO Calculator Inputs'!$E$57*'TCO Calculator Inputs'!$E$47/'TCO Calculator Inputs'!$E$19)*'TCO Calculator Inputs'!$E$20,"")</f>
        <v>160</v>
      </c>
      <c r="G43" s="73">
        <f ca="1" xml:space="preserve"> IF(CELL("type",G$27)="v",('TCO Calculator Inputs'!$E$57*'TCO Calculator Inputs'!$E$47/'TCO Calculator Inputs'!$E$19)*'TCO Calculator Inputs'!$E$20,"")</f>
        <v>160</v>
      </c>
      <c r="H43" s="73">
        <f ca="1" xml:space="preserve"> IF(CELL("type",H$27)="v",('TCO Calculator Inputs'!$E$57*'TCO Calculator Inputs'!$E$47/'TCO Calculator Inputs'!$E$19)*'TCO Calculator Inputs'!$E$20,"")</f>
        <v>160</v>
      </c>
      <c r="I43" s="73">
        <f ca="1" xml:space="preserve"> IF(CELL("type",I$27)="v",('TCO Calculator Inputs'!$E$57*'TCO Calculator Inputs'!$E$47/'TCO Calculator Inputs'!$E$19)*'TCO Calculator Inputs'!$E$20,"")</f>
        <v>160</v>
      </c>
      <c r="J43" s="73">
        <f ca="1" xml:space="preserve"> IF(CELL("type",J$27)="v",('TCO Calculator Inputs'!$E$57*'TCO Calculator Inputs'!$E$47/'TCO Calculator Inputs'!$E$19)*'TCO Calculator Inputs'!$E$20,"")</f>
        <v>160</v>
      </c>
      <c r="K43" s="73">
        <f ca="1" xml:space="preserve"> IF(CELL("type",K$27)="v",('TCO Calculator Inputs'!$E$57*'TCO Calculator Inputs'!$E$47/'TCO Calculator Inputs'!$E$19)*'TCO Calculator Inputs'!$E$20,"")</f>
        <v>160</v>
      </c>
      <c r="L43" s="73">
        <f ca="1" xml:space="preserve"> IF(CELL("type",L$27)="v",('TCO Calculator Inputs'!$E$57*'TCO Calculator Inputs'!$E$47/'TCO Calculator Inputs'!$E$19)*'TCO Calculator Inputs'!$E$20,"")</f>
        <v>160</v>
      </c>
      <c r="M43" s="73">
        <f ca="1" xml:space="preserve"> IF(CELL("type",M$27)="v",('TCO Calculator Inputs'!$E$57*'TCO Calculator Inputs'!$E$47/'TCO Calculator Inputs'!$E$19)*'TCO Calculator Inputs'!$E$20,"")</f>
        <v>160</v>
      </c>
      <c r="N43" s="73" t="str">
        <f ca="1" xml:space="preserve"> IF(CELL("type",N$27)="v",('TCO Calculator Inputs'!$E$57*'TCO Calculator Inputs'!$E$47/'TCO Calculator Inputs'!$E$19)*'TCO Calculator Inputs'!$E$20,"")</f>
        <v/>
      </c>
      <c r="O43" s="73" t="str">
        <f ca="1" xml:space="preserve"> IF(CELL("type",O$27)="v",('TCO Calculator Inputs'!$E$57*'TCO Calculator Inputs'!$E$47/'TCO Calculator Inputs'!$E$19)*'TCO Calculator Inputs'!$E$20,"")</f>
        <v/>
      </c>
      <c r="P43" s="73" t="str">
        <f ca="1" xml:space="preserve"> IF(CELL("type",P$27)="v",('TCO Calculator Inputs'!$E$57*'TCO Calculator Inputs'!$E$47/'TCO Calculator Inputs'!$E$19)*'TCO Calculator Inputs'!$E$20,"")</f>
        <v/>
      </c>
      <c r="Q43" s="73" t="str">
        <f ca="1" xml:space="preserve"> IF(CELL("type",Q$27)="v",('TCO Calculator Inputs'!$E$57*'TCO Calculator Inputs'!$E$47/'TCO Calculator Inputs'!$E$19)*'TCO Calculator Inputs'!$E$20,"")</f>
        <v/>
      </c>
      <c r="R43" s="73" t="str">
        <f ca="1" xml:space="preserve"> IF(CELL("type",R$27)="v",('TCO Calculator Inputs'!$E$57*'TCO Calculator Inputs'!$E$47/'TCO Calculator Inputs'!$E$19)*'TCO Calculator Inputs'!$E$20,"")</f>
        <v/>
      </c>
      <c r="S43" s="73" t="str">
        <f ca="1" xml:space="preserve"> IF(CELL("type",S$27)="v",('TCO Calculator Inputs'!$E$57*'TCO Calculator Inputs'!$E$47/'TCO Calculator Inputs'!$E$19)*'TCO Calculator Inputs'!$E$20,"")</f>
        <v/>
      </c>
      <c r="T43" s="73" t="str">
        <f ca="1" xml:space="preserve"> IF(CELL("type",T$27)="v",('TCO Calculator Inputs'!$E$57*'TCO Calculator Inputs'!$E$47/'TCO Calculator Inputs'!$E$19)*'TCO Calculator Inputs'!$E$20,"")</f>
        <v/>
      </c>
      <c r="U43" s="73" t="str">
        <f ca="1" xml:space="preserve"> IF(CELL("type",U$27)="v",('TCO Calculator Inputs'!$E$57*'TCO Calculator Inputs'!$E$47/'TCO Calculator Inputs'!$E$19)*'TCO Calculator Inputs'!$E$20,"")</f>
        <v/>
      </c>
      <c r="V43" s="73" t="str">
        <f ca="1" xml:space="preserve"> IF(CELL("type",V$27)="v",('TCO Calculator Inputs'!$E$57*'TCO Calculator Inputs'!$E$47/'TCO Calculator Inputs'!$E$19)*'TCO Calculator Inputs'!$E$20,"")</f>
        <v/>
      </c>
      <c r="W43" s="73" t="str">
        <f ca="1" xml:space="preserve"> IF(CELL("type",W$27)="v",('TCO Calculator Inputs'!$E$57*'TCO Calculator Inputs'!$E$47/'TCO Calculator Inputs'!$E$19)*'TCO Calculator Inputs'!$E$20,"")</f>
        <v/>
      </c>
      <c r="X43" s="73" t="str">
        <f ca="1" xml:space="preserve"> IF(CELL("type",X$27)="v",('TCO Calculator Inputs'!$E$57*'TCO Calculator Inputs'!$E$47/'TCO Calculator Inputs'!$E$19)*'TCO Calculator Inputs'!$E$20,"")</f>
        <v/>
      </c>
      <c r="Y43" s="73" t="str">
        <f ca="1" xml:space="preserve"> IF(CELL("type",Y$27)="v",('TCO Calculator Inputs'!$E$57*'TCO Calculator Inputs'!$E$47/'TCO Calculator Inputs'!$E$19)*'TCO Calculator Inputs'!$E$20,"")</f>
        <v/>
      </c>
      <c r="Z43" s="73" t="str">
        <f ca="1" xml:space="preserve"> IF(CELL("type",Z$27)="v",('TCO Calculator Inputs'!$E$57*'TCO Calculator Inputs'!$E$47/'TCO Calculator Inputs'!$E$19)*'TCO Calculator Inputs'!$E$20,"")</f>
        <v/>
      </c>
      <c r="AA43" s="73" t="str">
        <f ca="1" xml:space="preserve"> IF(CELL("type",AA$27)="v",('TCO Calculator Inputs'!$E$57*'TCO Calculator Inputs'!$E$47/'TCO Calculator Inputs'!$E$19)*'TCO Calculator Inputs'!$E$20,"")</f>
        <v/>
      </c>
      <c r="AB43" s="73" t="str">
        <f ca="1" xml:space="preserve"> IF(CELL("type",AB$27)="v",('TCO Calculator Inputs'!$E$57*'TCO Calculator Inputs'!$E$47/'TCO Calculator Inputs'!$E$19)*'TCO Calculator Inputs'!$E$20,"")</f>
        <v/>
      </c>
      <c r="AC43" s="73" t="str">
        <f ca="1" xml:space="preserve"> IF(CELL("type",AC$27)="v",('TCO Calculator Inputs'!$E$57*'TCO Calculator Inputs'!$E$47/'TCO Calculator Inputs'!$E$19)*'TCO Calculator Inputs'!$E$20,"")</f>
        <v/>
      </c>
      <c r="AD43" s="73" t="str">
        <f ca="1" xml:space="preserve"> IF(CELL("type",AD$27)="v",('TCO Calculator Inputs'!$E$57*'TCO Calculator Inputs'!$E$47/'TCO Calculator Inputs'!$E$19)*'TCO Calculator Inputs'!$E$20,"")</f>
        <v/>
      </c>
      <c r="AE43" s="73" t="str">
        <f ca="1" xml:space="preserve"> IF(CELL("type",AE$27)="v",('TCO Calculator Inputs'!$E$57*'TCO Calculator Inputs'!$E$47/'TCO Calculator Inputs'!$E$19)*'TCO Calculator Inputs'!$E$20,"")</f>
        <v/>
      </c>
      <c r="AF43" s="73" t="str">
        <f ca="1" xml:space="preserve"> IF(CELL("type",AF$27)="v",('TCO Calculator Inputs'!$E$57*'TCO Calculator Inputs'!$E$47/'TCO Calculator Inputs'!$E$19)*'TCO Calculator Inputs'!$E$20,"")</f>
        <v/>
      </c>
      <c r="AG43" s="73" t="str">
        <f ca="1" xml:space="preserve"> IF(CELL("type",AG$27)="v",('TCO Calculator Inputs'!$E$57*'TCO Calculator Inputs'!$E$47/'TCO Calculator Inputs'!$E$19)*'TCO Calculator Inputs'!$E$20,"")</f>
        <v/>
      </c>
    </row>
    <row r="44" spans="2:33" x14ac:dyDescent="0.25">
      <c r="B44" s="46" t="s">
        <v>120</v>
      </c>
      <c r="C44" s="74"/>
      <c r="D44" s="73">
        <f ca="1" xml:space="preserve"> IF(CELL("type",D$27)="v",('TCO Calculator Inputs'!$E$58*'TCO Calculator Inputs'!$E$47/'TCO Calculator Inputs'!$E$19)*'TCO Calculator Inputs'!$E$20,"")</f>
        <v>160</v>
      </c>
      <c r="E44" s="73">
        <f ca="1" xml:space="preserve"> IF(CELL("type",E$27)="v",('TCO Calculator Inputs'!$E$58*'TCO Calculator Inputs'!$E$47/'TCO Calculator Inputs'!$E$19)*'TCO Calculator Inputs'!$E$20,"")</f>
        <v>160</v>
      </c>
      <c r="F44" s="73">
        <f ca="1" xml:space="preserve"> IF(CELL("type",F$27)="v",('TCO Calculator Inputs'!$E$58*'TCO Calculator Inputs'!$E$47/'TCO Calculator Inputs'!$E$19)*'TCO Calculator Inputs'!$E$20,"")</f>
        <v>160</v>
      </c>
      <c r="G44" s="73">
        <f ca="1" xml:space="preserve"> IF(CELL("type",G$27)="v",('TCO Calculator Inputs'!$E$58*'TCO Calculator Inputs'!$E$47/'TCO Calculator Inputs'!$E$19)*'TCO Calculator Inputs'!$E$20,"")</f>
        <v>160</v>
      </c>
      <c r="H44" s="73">
        <f ca="1" xml:space="preserve"> IF(CELL("type",H$27)="v",('TCO Calculator Inputs'!$E$58*'TCO Calculator Inputs'!$E$47/'TCO Calculator Inputs'!$E$19)*'TCO Calculator Inputs'!$E$20,"")</f>
        <v>160</v>
      </c>
      <c r="I44" s="73">
        <f ca="1" xml:space="preserve"> IF(CELL("type",I$27)="v",('TCO Calculator Inputs'!$E$58*'TCO Calculator Inputs'!$E$47/'TCO Calculator Inputs'!$E$19)*'TCO Calculator Inputs'!$E$20,"")</f>
        <v>160</v>
      </c>
      <c r="J44" s="73">
        <f ca="1" xml:space="preserve"> IF(CELL("type",J$27)="v",('TCO Calculator Inputs'!$E$58*'TCO Calculator Inputs'!$E$47/'TCO Calculator Inputs'!$E$19)*'TCO Calculator Inputs'!$E$20,"")</f>
        <v>160</v>
      </c>
      <c r="K44" s="73">
        <f ca="1" xml:space="preserve"> IF(CELL("type",K$27)="v",('TCO Calculator Inputs'!$E$58*'TCO Calculator Inputs'!$E$47/'TCO Calculator Inputs'!$E$19)*'TCO Calculator Inputs'!$E$20,"")</f>
        <v>160</v>
      </c>
      <c r="L44" s="73">
        <f ca="1" xml:space="preserve"> IF(CELL("type",L$27)="v",('TCO Calculator Inputs'!$E$58*'TCO Calculator Inputs'!$E$47/'TCO Calculator Inputs'!$E$19)*'TCO Calculator Inputs'!$E$20,"")</f>
        <v>160</v>
      </c>
      <c r="M44" s="73">
        <f ca="1" xml:space="preserve"> IF(CELL("type",M$27)="v",('TCO Calculator Inputs'!$E$58*'TCO Calculator Inputs'!$E$47/'TCO Calculator Inputs'!$E$19)*'TCO Calculator Inputs'!$E$20,"")</f>
        <v>160</v>
      </c>
      <c r="N44" s="73" t="str">
        <f ca="1" xml:space="preserve"> IF(CELL("type",N$27)="v",('TCO Calculator Inputs'!$E$58*'TCO Calculator Inputs'!$E$47/'TCO Calculator Inputs'!$E$19)*'TCO Calculator Inputs'!$E$20,"")</f>
        <v/>
      </c>
      <c r="O44" s="73" t="str">
        <f ca="1" xml:space="preserve"> IF(CELL("type",O$27)="v",('TCO Calculator Inputs'!$E$58*'TCO Calculator Inputs'!$E$47/'TCO Calculator Inputs'!$E$19)*'TCO Calculator Inputs'!$E$20,"")</f>
        <v/>
      </c>
      <c r="P44" s="73" t="str">
        <f ca="1" xml:space="preserve"> IF(CELL("type",P$27)="v",('TCO Calculator Inputs'!$E$58*'TCO Calculator Inputs'!$E$47/'TCO Calculator Inputs'!$E$19)*'TCO Calculator Inputs'!$E$20,"")</f>
        <v/>
      </c>
      <c r="Q44" s="73" t="str">
        <f ca="1" xml:space="preserve"> IF(CELL("type",Q$27)="v",('TCO Calculator Inputs'!$E$58*'TCO Calculator Inputs'!$E$47/'TCO Calculator Inputs'!$E$19)*'TCO Calculator Inputs'!$E$20,"")</f>
        <v/>
      </c>
      <c r="R44" s="73" t="str">
        <f ca="1" xml:space="preserve"> IF(CELL("type",R$27)="v",('TCO Calculator Inputs'!$E$58*'TCO Calculator Inputs'!$E$47/'TCO Calculator Inputs'!$E$19)*'TCO Calculator Inputs'!$E$20,"")</f>
        <v/>
      </c>
      <c r="S44" s="73" t="str">
        <f ca="1" xml:space="preserve"> IF(CELL("type",S$27)="v",('TCO Calculator Inputs'!$E$58*'TCO Calculator Inputs'!$E$47/'TCO Calculator Inputs'!$E$19)*'TCO Calculator Inputs'!$E$20,"")</f>
        <v/>
      </c>
      <c r="T44" s="73" t="str">
        <f ca="1" xml:space="preserve"> IF(CELL("type",T$27)="v",('TCO Calculator Inputs'!$E$58*'TCO Calculator Inputs'!$E$47/'TCO Calculator Inputs'!$E$19)*'TCO Calculator Inputs'!$E$20,"")</f>
        <v/>
      </c>
      <c r="U44" s="73" t="str">
        <f ca="1" xml:space="preserve"> IF(CELL("type",U$27)="v",('TCO Calculator Inputs'!$E$58*'TCO Calculator Inputs'!$E$47/'TCO Calculator Inputs'!$E$19)*'TCO Calculator Inputs'!$E$20,"")</f>
        <v/>
      </c>
      <c r="V44" s="73" t="str">
        <f ca="1" xml:space="preserve"> IF(CELL("type",V$27)="v",('TCO Calculator Inputs'!$E$58*'TCO Calculator Inputs'!$E$47/'TCO Calculator Inputs'!$E$19)*'TCO Calculator Inputs'!$E$20,"")</f>
        <v/>
      </c>
      <c r="W44" s="73" t="str">
        <f ca="1" xml:space="preserve"> IF(CELL("type",W$27)="v",('TCO Calculator Inputs'!$E$58*'TCO Calculator Inputs'!$E$47/'TCO Calculator Inputs'!$E$19)*'TCO Calculator Inputs'!$E$20,"")</f>
        <v/>
      </c>
      <c r="X44" s="73" t="str">
        <f ca="1" xml:space="preserve"> IF(CELL("type",X$27)="v",('TCO Calculator Inputs'!$E$58*'TCO Calculator Inputs'!$E$47/'TCO Calculator Inputs'!$E$19)*'TCO Calculator Inputs'!$E$20,"")</f>
        <v/>
      </c>
      <c r="Y44" s="73" t="str">
        <f ca="1" xml:space="preserve"> IF(CELL("type",Y$27)="v",('TCO Calculator Inputs'!$E$58*'TCO Calculator Inputs'!$E$47/'TCO Calculator Inputs'!$E$19)*'TCO Calculator Inputs'!$E$20,"")</f>
        <v/>
      </c>
      <c r="Z44" s="73" t="str">
        <f ca="1" xml:space="preserve"> IF(CELL("type",Z$27)="v",('TCO Calculator Inputs'!$E$58*'TCO Calculator Inputs'!$E$47/'TCO Calculator Inputs'!$E$19)*'TCO Calculator Inputs'!$E$20,"")</f>
        <v/>
      </c>
      <c r="AA44" s="73" t="str">
        <f ca="1" xml:space="preserve"> IF(CELL("type",AA$27)="v",('TCO Calculator Inputs'!$E$58*'TCO Calculator Inputs'!$E$47/'TCO Calculator Inputs'!$E$19)*'TCO Calculator Inputs'!$E$20,"")</f>
        <v/>
      </c>
      <c r="AB44" s="73" t="str">
        <f ca="1" xml:space="preserve"> IF(CELL("type",AB$27)="v",('TCO Calculator Inputs'!$E$58*'TCO Calculator Inputs'!$E$47/'TCO Calculator Inputs'!$E$19)*'TCO Calculator Inputs'!$E$20,"")</f>
        <v/>
      </c>
      <c r="AC44" s="73" t="str">
        <f ca="1" xml:space="preserve"> IF(CELL("type",AC$27)="v",('TCO Calculator Inputs'!$E$58*'TCO Calculator Inputs'!$E$47/'TCO Calculator Inputs'!$E$19)*'TCO Calculator Inputs'!$E$20,"")</f>
        <v/>
      </c>
      <c r="AD44" s="73" t="str">
        <f ca="1" xml:space="preserve"> IF(CELL("type",AD$27)="v",('TCO Calculator Inputs'!$E$58*'TCO Calculator Inputs'!$E$47/'TCO Calculator Inputs'!$E$19)*'TCO Calculator Inputs'!$E$20,"")</f>
        <v/>
      </c>
      <c r="AE44" s="73" t="str">
        <f ca="1" xml:space="preserve"> IF(CELL("type",AE$27)="v",('TCO Calculator Inputs'!$E$58*'TCO Calculator Inputs'!$E$47/'TCO Calculator Inputs'!$E$19)*'TCO Calculator Inputs'!$E$20,"")</f>
        <v/>
      </c>
      <c r="AF44" s="73" t="str">
        <f ca="1" xml:space="preserve"> IF(CELL("type",AF$27)="v",('TCO Calculator Inputs'!$E$58*'TCO Calculator Inputs'!$E$47/'TCO Calculator Inputs'!$E$19)*'TCO Calculator Inputs'!$E$20,"")</f>
        <v/>
      </c>
      <c r="AG44" s="73" t="str">
        <f ca="1" xml:space="preserve"> IF(CELL("type",AG$27)="v",('TCO Calculator Inputs'!$E$58*'TCO Calculator Inputs'!$E$47/'TCO Calculator Inputs'!$E$19)*'TCO Calculator Inputs'!$E$20,"")</f>
        <v/>
      </c>
    </row>
    <row r="45" spans="2:33" x14ac:dyDescent="0.25">
      <c r="B45" s="46" t="s">
        <v>121</v>
      </c>
      <c r="C45" s="74"/>
      <c r="D45" s="73">
        <f ca="1" xml:space="preserve"> IF(CELL("type",D$27)="v",('TCO Calculator Inputs'!$E$59*'TCO Calculator Inputs'!$E$47/'TCO Calculator Inputs'!$E$19)*'TCO Calculator Inputs'!$E$20,"")</f>
        <v>160</v>
      </c>
      <c r="E45" s="73">
        <f ca="1" xml:space="preserve"> IF(CELL("type",E$27)="v",('TCO Calculator Inputs'!$E$59*'TCO Calculator Inputs'!$E$47/'TCO Calculator Inputs'!$E$19)*'TCO Calculator Inputs'!$E$20,"")</f>
        <v>160</v>
      </c>
      <c r="F45" s="73">
        <f ca="1" xml:space="preserve"> IF(CELL("type",F$27)="v",('TCO Calculator Inputs'!$E$59*'TCO Calculator Inputs'!$E$47/'TCO Calculator Inputs'!$E$19)*'TCO Calculator Inputs'!$E$20,"")</f>
        <v>160</v>
      </c>
      <c r="G45" s="73">
        <f ca="1" xml:space="preserve"> IF(CELL("type",G$27)="v",('TCO Calculator Inputs'!$E$59*'TCO Calculator Inputs'!$E$47/'TCO Calculator Inputs'!$E$19)*'TCO Calculator Inputs'!$E$20,"")</f>
        <v>160</v>
      </c>
      <c r="H45" s="73">
        <f ca="1" xml:space="preserve"> IF(CELL("type",H$27)="v",('TCO Calculator Inputs'!$E$59*'TCO Calculator Inputs'!$E$47/'TCO Calculator Inputs'!$E$19)*'TCO Calculator Inputs'!$E$20,"")</f>
        <v>160</v>
      </c>
      <c r="I45" s="73">
        <f ca="1" xml:space="preserve"> IF(CELL("type",I$27)="v",('TCO Calculator Inputs'!$E$59*'TCO Calculator Inputs'!$E$47/'TCO Calculator Inputs'!$E$19)*'TCO Calculator Inputs'!$E$20,"")</f>
        <v>160</v>
      </c>
      <c r="J45" s="73">
        <f ca="1" xml:space="preserve"> IF(CELL("type",J$27)="v",('TCO Calculator Inputs'!$E$59*'TCO Calculator Inputs'!$E$47/'TCO Calculator Inputs'!$E$19)*'TCO Calculator Inputs'!$E$20,"")</f>
        <v>160</v>
      </c>
      <c r="K45" s="73">
        <f ca="1" xml:space="preserve"> IF(CELL("type",K$27)="v",('TCO Calculator Inputs'!$E$59*'TCO Calculator Inputs'!$E$47/'TCO Calculator Inputs'!$E$19)*'TCO Calculator Inputs'!$E$20,"")</f>
        <v>160</v>
      </c>
      <c r="L45" s="73">
        <f ca="1" xml:space="preserve"> IF(CELL("type",L$27)="v",('TCO Calculator Inputs'!$E$59*'TCO Calculator Inputs'!$E$47/'TCO Calculator Inputs'!$E$19)*'TCO Calculator Inputs'!$E$20,"")</f>
        <v>160</v>
      </c>
      <c r="M45" s="73">
        <f ca="1" xml:space="preserve"> IF(CELL("type",M$27)="v",('TCO Calculator Inputs'!$E$59*'TCO Calculator Inputs'!$E$47/'TCO Calculator Inputs'!$E$19)*'TCO Calculator Inputs'!$E$20,"")</f>
        <v>160</v>
      </c>
      <c r="N45" s="73" t="str">
        <f ca="1" xml:space="preserve"> IF(CELL("type",N$27)="v",('TCO Calculator Inputs'!$E$59*'TCO Calculator Inputs'!$E$47/'TCO Calculator Inputs'!$E$19)*'TCO Calculator Inputs'!$E$20,"")</f>
        <v/>
      </c>
      <c r="O45" s="73" t="str">
        <f ca="1" xml:space="preserve"> IF(CELL("type",O$27)="v",('TCO Calculator Inputs'!$E$59*'TCO Calculator Inputs'!$E$47/'TCO Calculator Inputs'!$E$19)*'TCO Calculator Inputs'!$E$20,"")</f>
        <v/>
      </c>
      <c r="P45" s="73" t="str">
        <f ca="1" xml:space="preserve"> IF(CELL("type",P$27)="v",('TCO Calculator Inputs'!$E$59*'TCO Calculator Inputs'!$E$47/'TCO Calculator Inputs'!$E$19)*'TCO Calculator Inputs'!$E$20,"")</f>
        <v/>
      </c>
      <c r="Q45" s="73" t="str">
        <f ca="1" xml:space="preserve"> IF(CELL("type",Q$27)="v",('TCO Calculator Inputs'!$E$59*'TCO Calculator Inputs'!$E$47/'TCO Calculator Inputs'!$E$19)*'TCO Calculator Inputs'!$E$20,"")</f>
        <v/>
      </c>
      <c r="R45" s="73" t="str">
        <f ca="1" xml:space="preserve"> IF(CELL("type",R$27)="v",('TCO Calculator Inputs'!$E$59*'TCO Calculator Inputs'!$E$47/'TCO Calculator Inputs'!$E$19)*'TCO Calculator Inputs'!$E$20,"")</f>
        <v/>
      </c>
      <c r="S45" s="73" t="str">
        <f ca="1" xml:space="preserve"> IF(CELL("type",S$27)="v",('TCO Calculator Inputs'!$E$59*'TCO Calculator Inputs'!$E$47/'TCO Calculator Inputs'!$E$19)*'TCO Calculator Inputs'!$E$20,"")</f>
        <v/>
      </c>
      <c r="T45" s="73" t="str">
        <f ca="1" xml:space="preserve"> IF(CELL("type",T$27)="v",('TCO Calculator Inputs'!$E$59*'TCO Calculator Inputs'!$E$47/'TCO Calculator Inputs'!$E$19)*'TCO Calculator Inputs'!$E$20,"")</f>
        <v/>
      </c>
      <c r="U45" s="73" t="str">
        <f ca="1" xml:space="preserve"> IF(CELL("type",U$27)="v",('TCO Calculator Inputs'!$E$59*'TCO Calculator Inputs'!$E$47/'TCO Calculator Inputs'!$E$19)*'TCO Calculator Inputs'!$E$20,"")</f>
        <v/>
      </c>
      <c r="V45" s="73" t="str">
        <f ca="1" xml:space="preserve"> IF(CELL("type",V$27)="v",('TCO Calculator Inputs'!$E$59*'TCO Calculator Inputs'!$E$47/'TCO Calculator Inputs'!$E$19)*'TCO Calculator Inputs'!$E$20,"")</f>
        <v/>
      </c>
      <c r="W45" s="73" t="str">
        <f ca="1" xml:space="preserve"> IF(CELL("type",W$27)="v",('TCO Calculator Inputs'!$E$59*'TCO Calculator Inputs'!$E$47/'TCO Calculator Inputs'!$E$19)*'TCO Calculator Inputs'!$E$20,"")</f>
        <v/>
      </c>
      <c r="X45" s="73" t="str">
        <f ca="1" xml:space="preserve"> IF(CELL("type",X$27)="v",('TCO Calculator Inputs'!$E$59*'TCO Calculator Inputs'!$E$47/'TCO Calculator Inputs'!$E$19)*'TCO Calculator Inputs'!$E$20,"")</f>
        <v/>
      </c>
      <c r="Y45" s="73" t="str">
        <f ca="1" xml:space="preserve"> IF(CELL("type",Y$27)="v",('TCO Calculator Inputs'!$E$59*'TCO Calculator Inputs'!$E$47/'TCO Calculator Inputs'!$E$19)*'TCO Calculator Inputs'!$E$20,"")</f>
        <v/>
      </c>
      <c r="Z45" s="73" t="str">
        <f ca="1" xml:space="preserve"> IF(CELL("type",Z$27)="v",('TCO Calculator Inputs'!$E$59*'TCO Calculator Inputs'!$E$47/'TCO Calculator Inputs'!$E$19)*'TCO Calculator Inputs'!$E$20,"")</f>
        <v/>
      </c>
      <c r="AA45" s="73" t="str">
        <f ca="1" xml:space="preserve"> IF(CELL("type",AA$27)="v",('TCO Calculator Inputs'!$E$59*'TCO Calculator Inputs'!$E$47/'TCO Calculator Inputs'!$E$19)*'TCO Calculator Inputs'!$E$20,"")</f>
        <v/>
      </c>
      <c r="AB45" s="73" t="str">
        <f ca="1" xml:space="preserve"> IF(CELL("type",AB$27)="v",('TCO Calculator Inputs'!$E$59*'TCO Calculator Inputs'!$E$47/'TCO Calculator Inputs'!$E$19)*'TCO Calculator Inputs'!$E$20,"")</f>
        <v/>
      </c>
      <c r="AC45" s="73" t="str">
        <f ca="1" xml:space="preserve"> IF(CELL("type",AC$27)="v",('TCO Calculator Inputs'!$E$59*'TCO Calculator Inputs'!$E$47/'TCO Calculator Inputs'!$E$19)*'TCO Calculator Inputs'!$E$20,"")</f>
        <v/>
      </c>
      <c r="AD45" s="73" t="str">
        <f ca="1" xml:space="preserve"> IF(CELL("type",AD$27)="v",('TCO Calculator Inputs'!$E$59*'TCO Calculator Inputs'!$E$47/'TCO Calculator Inputs'!$E$19)*'TCO Calculator Inputs'!$E$20,"")</f>
        <v/>
      </c>
      <c r="AE45" s="73" t="str">
        <f ca="1" xml:space="preserve"> IF(CELL("type",AE$27)="v",('TCO Calculator Inputs'!$E$59*'TCO Calculator Inputs'!$E$47/'TCO Calculator Inputs'!$E$19)*'TCO Calculator Inputs'!$E$20,"")</f>
        <v/>
      </c>
      <c r="AF45" s="73" t="str">
        <f ca="1" xml:space="preserve"> IF(CELL("type",AF$27)="v",('TCO Calculator Inputs'!$E$59*'TCO Calculator Inputs'!$E$47/'TCO Calculator Inputs'!$E$19)*'TCO Calculator Inputs'!$E$20,"")</f>
        <v/>
      </c>
      <c r="AG45" s="73" t="str">
        <f ca="1" xml:space="preserve"> IF(CELL("type",AG$27)="v",('TCO Calculator Inputs'!$E$59*'TCO Calculator Inputs'!$E$47/'TCO Calculator Inputs'!$E$19)*'TCO Calculator Inputs'!$E$20,"")</f>
        <v/>
      </c>
    </row>
    <row r="46" spans="2:33" x14ac:dyDescent="0.25">
      <c r="B46" s="46" t="s">
        <v>122</v>
      </c>
      <c r="C46" s="74"/>
      <c r="D46" s="73">
        <f ca="1" xml:space="preserve"> IF(CELL("type",D$27)="v",('TCO Calculator Inputs'!$E$60*'TCO Calculator Inputs'!$E$47/'TCO Calculator Inputs'!$E$19)*'TCO Calculator Inputs'!$E$20,"")</f>
        <v>160</v>
      </c>
      <c r="E46" s="73">
        <f ca="1" xml:space="preserve"> IF(CELL("type",E$27)="v",('TCO Calculator Inputs'!$E$60*'TCO Calculator Inputs'!$E$47/'TCO Calculator Inputs'!$E$19)*'TCO Calculator Inputs'!$E$20,"")</f>
        <v>160</v>
      </c>
      <c r="F46" s="73">
        <f ca="1" xml:space="preserve"> IF(CELL("type",F$27)="v",('TCO Calculator Inputs'!$E$60*'TCO Calculator Inputs'!$E$47/'TCO Calculator Inputs'!$E$19)*'TCO Calculator Inputs'!$E$20,"")</f>
        <v>160</v>
      </c>
      <c r="G46" s="73">
        <f ca="1" xml:space="preserve"> IF(CELL("type",G$27)="v",('TCO Calculator Inputs'!$E$60*'TCO Calculator Inputs'!$E$47/'TCO Calculator Inputs'!$E$19)*'TCO Calculator Inputs'!$E$20,"")</f>
        <v>160</v>
      </c>
      <c r="H46" s="73">
        <f ca="1" xml:space="preserve"> IF(CELL("type",H$27)="v",('TCO Calculator Inputs'!$E$60*'TCO Calculator Inputs'!$E$47/'TCO Calculator Inputs'!$E$19)*'TCO Calculator Inputs'!$E$20,"")</f>
        <v>160</v>
      </c>
      <c r="I46" s="73">
        <f ca="1" xml:space="preserve"> IF(CELL("type",I$27)="v",('TCO Calculator Inputs'!$E$60*'TCO Calculator Inputs'!$E$47/'TCO Calculator Inputs'!$E$19)*'TCO Calculator Inputs'!$E$20,"")</f>
        <v>160</v>
      </c>
      <c r="J46" s="73">
        <f ca="1" xml:space="preserve"> IF(CELL("type",J$27)="v",('TCO Calculator Inputs'!$E$60*'TCO Calculator Inputs'!$E$47/'TCO Calculator Inputs'!$E$19)*'TCO Calculator Inputs'!$E$20,"")</f>
        <v>160</v>
      </c>
      <c r="K46" s="73">
        <f ca="1" xml:space="preserve"> IF(CELL("type",K$27)="v",('TCO Calculator Inputs'!$E$60*'TCO Calculator Inputs'!$E$47/'TCO Calculator Inputs'!$E$19)*'TCO Calculator Inputs'!$E$20,"")</f>
        <v>160</v>
      </c>
      <c r="L46" s="73">
        <f ca="1" xml:space="preserve"> IF(CELL("type",L$27)="v",('TCO Calculator Inputs'!$E$60*'TCO Calculator Inputs'!$E$47/'TCO Calculator Inputs'!$E$19)*'TCO Calculator Inputs'!$E$20,"")</f>
        <v>160</v>
      </c>
      <c r="M46" s="73">
        <f ca="1" xml:space="preserve"> IF(CELL("type",M$27)="v",('TCO Calculator Inputs'!$E$60*'TCO Calculator Inputs'!$E$47/'TCO Calculator Inputs'!$E$19)*'TCO Calculator Inputs'!$E$20,"")</f>
        <v>160</v>
      </c>
      <c r="N46" s="73" t="str">
        <f ca="1" xml:space="preserve"> IF(CELL("type",N$27)="v",('TCO Calculator Inputs'!$E$60*'TCO Calculator Inputs'!$E$47/'TCO Calculator Inputs'!$E$19)*'TCO Calculator Inputs'!$E$20,"")</f>
        <v/>
      </c>
      <c r="O46" s="73" t="str">
        <f ca="1" xml:space="preserve"> IF(CELL("type",O$27)="v",('TCO Calculator Inputs'!$E$60*'TCO Calculator Inputs'!$E$47/'TCO Calculator Inputs'!$E$19)*'TCO Calculator Inputs'!$E$20,"")</f>
        <v/>
      </c>
      <c r="P46" s="73" t="str">
        <f ca="1" xml:space="preserve"> IF(CELL("type",P$27)="v",('TCO Calculator Inputs'!$E$60*'TCO Calculator Inputs'!$E$47/'TCO Calculator Inputs'!$E$19)*'TCO Calculator Inputs'!$E$20,"")</f>
        <v/>
      </c>
      <c r="Q46" s="73" t="str">
        <f ca="1" xml:space="preserve"> IF(CELL("type",Q$27)="v",('TCO Calculator Inputs'!$E$60*'TCO Calculator Inputs'!$E$47/'TCO Calculator Inputs'!$E$19)*'TCO Calculator Inputs'!$E$20,"")</f>
        <v/>
      </c>
      <c r="R46" s="73" t="str">
        <f ca="1" xml:space="preserve"> IF(CELL("type",R$27)="v",('TCO Calculator Inputs'!$E$60*'TCO Calculator Inputs'!$E$47/'TCO Calculator Inputs'!$E$19)*'TCO Calculator Inputs'!$E$20,"")</f>
        <v/>
      </c>
      <c r="S46" s="73" t="str">
        <f ca="1" xml:space="preserve"> IF(CELL("type",S$27)="v",('TCO Calculator Inputs'!$E$60*'TCO Calculator Inputs'!$E$47/'TCO Calculator Inputs'!$E$19)*'TCO Calculator Inputs'!$E$20,"")</f>
        <v/>
      </c>
      <c r="T46" s="73" t="str">
        <f ca="1" xml:space="preserve"> IF(CELL("type",T$27)="v",('TCO Calculator Inputs'!$E$60*'TCO Calculator Inputs'!$E$47/'TCO Calculator Inputs'!$E$19)*'TCO Calculator Inputs'!$E$20,"")</f>
        <v/>
      </c>
      <c r="U46" s="73" t="str">
        <f ca="1" xml:space="preserve"> IF(CELL("type",U$27)="v",('TCO Calculator Inputs'!$E$60*'TCO Calculator Inputs'!$E$47/'TCO Calculator Inputs'!$E$19)*'TCO Calculator Inputs'!$E$20,"")</f>
        <v/>
      </c>
      <c r="V46" s="73" t="str">
        <f ca="1" xml:space="preserve"> IF(CELL("type",V$27)="v",('TCO Calculator Inputs'!$E$60*'TCO Calculator Inputs'!$E$47/'TCO Calculator Inputs'!$E$19)*'TCO Calculator Inputs'!$E$20,"")</f>
        <v/>
      </c>
      <c r="W46" s="73" t="str">
        <f ca="1" xml:space="preserve"> IF(CELL("type",W$27)="v",('TCO Calculator Inputs'!$E$60*'TCO Calculator Inputs'!$E$47/'TCO Calculator Inputs'!$E$19)*'TCO Calculator Inputs'!$E$20,"")</f>
        <v/>
      </c>
      <c r="X46" s="73" t="str">
        <f ca="1" xml:space="preserve"> IF(CELL("type",X$27)="v",('TCO Calculator Inputs'!$E$60*'TCO Calculator Inputs'!$E$47/'TCO Calculator Inputs'!$E$19)*'TCO Calculator Inputs'!$E$20,"")</f>
        <v/>
      </c>
      <c r="Y46" s="73" t="str">
        <f ca="1" xml:space="preserve"> IF(CELL("type",Y$27)="v",('TCO Calculator Inputs'!$E$60*'TCO Calculator Inputs'!$E$47/'TCO Calculator Inputs'!$E$19)*'TCO Calculator Inputs'!$E$20,"")</f>
        <v/>
      </c>
      <c r="Z46" s="73" t="str">
        <f ca="1" xml:space="preserve"> IF(CELL("type",Z$27)="v",('TCO Calculator Inputs'!$E$60*'TCO Calculator Inputs'!$E$47/'TCO Calculator Inputs'!$E$19)*'TCO Calculator Inputs'!$E$20,"")</f>
        <v/>
      </c>
      <c r="AA46" s="73" t="str">
        <f ca="1" xml:space="preserve"> IF(CELL("type",AA$27)="v",('TCO Calculator Inputs'!$E$60*'TCO Calculator Inputs'!$E$47/'TCO Calculator Inputs'!$E$19)*'TCO Calculator Inputs'!$E$20,"")</f>
        <v/>
      </c>
      <c r="AB46" s="73" t="str">
        <f ca="1" xml:space="preserve"> IF(CELL("type",AB$27)="v",('TCO Calculator Inputs'!$E$60*'TCO Calculator Inputs'!$E$47/'TCO Calculator Inputs'!$E$19)*'TCO Calculator Inputs'!$E$20,"")</f>
        <v/>
      </c>
      <c r="AC46" s="73" t="str">
        <f ca="1" xml:space="preserve"> IF(CELL("type",AC$27)="v",('TCO Calculator Inputs'!$E$60*'TCO Calculator Inputs'!$E$47/'TCO Calculator Inputs'!$E$19)*'TCO Calculator Inputs'!$E$20,"")</f>
        <v/>
      </c>
      <c r="AD46" s="73" t="str">
        <f ca="1" xml:space="preserve"> IF(CELL("type",AD$27)="v",('TCO Calculator Inputs'!$E$60*'TCO Calculator Inputs'!$E$47/'TCO Calculator Inputs'!$E$19)*'TCO Calculator Inputs'!$E$20,"")</f>
        <v/>
      </c>
      <c r="AE46" s="73" t="str">
        <f ca="1" xml:space="preserve"> IF(CELL("type",AE$27)="v",('TCO Calculator Inputs'!$E$60*'TCO Calculator Inputs'!$E$47/'TCO Calculator Inputs'!$E$19)*'TCO Calculator Inputs'!$E$20,"")</f>
        <v/>
      </c>
      <c r="AF46" s="73" t="str">
        <f ca="1" xml:space="preserve"> IF(CELL("type",AF$27)="v",('TCO Calculator Inputs'!$E$60*'TCO Calculator Inputs'!$E$47/'TCO Calculator Inputs'!$E$19)*'TCO Calculator Inputs'!$E$20,"")</f>
        <v/>
      </c>
      <c r="AG46" s="73" t="str">
        <f ca="1" xml:space="preserve"> IF(CELL("type",AG$27)="v",('TCO Calculator Inputs'!$E$60*'TCO Calculator Inputs'!$E$47/'TCO Calculator Inputs'!$E$19)*'TCO Calculator Inputs'!$E$20,"")</f>
        <v/>
      </c>
    </row>
    <row r="47" spans="2:33" x14ac:dyDescent="0.25">
      <c r="B47" s="46" t="s">
        <v>117</v>
      </c>
      <c r="C47" s="73" t="str">
        <f xml:space="preserve"> IF('TCO Calculator Inputs'!$E$63=1,(-'TCO Calculator Inputs'!$E$64*'TCO Calculator Inputs'!$E$47)*'TCO Calculator Inputs'!$E$20/'TCO Calculator Inputs'!$E$65,"")</f>
        <v/>
      </c>
      <c r="D47" s="73">
        <f ca="1" xml:space="preserve"> IF(CELL("type",D$27)="v",IF('TCO Calculator Inputs'!$E$63=1,"",IF(D27=0,"",(-'TCO Calculator Inputs'!$E$64*'TCO Calculator Inputs'!$E$47)/'TCO Calculator Inputs'!$E$19)*('TCO Calculator Inputs'!$E$20/'TCO Calculator Inputs'!$E$65)),"")</f>
        <v>-400</v>
      </c>
      <c r="E47" s="73">
        <f ca="1" xml:space="preserve"> IF(CELL("type",E$27)="v",IF('TCO Calculator Inputs'!$E$63=1,"",IF(E27=0,"",(-'TCO Calculator Inputs'!$E$64*'TCO Calculator Inputs'!$E$47)/'TCO Calculator Inputs'!$E$19)*('TCO Calculator Inputs'!$E$20/'TCO Calculator Inputs'!$E$65)),"")</f>
        <v>-400</v>
      </c>
      <c r="F47" s="73">
        <f ca="1" xml:space="preserve"> IF(CELL("type",F$27)="v",IF('TCO Calculator Inputs'!$E$63=1,"",IF(F27=0,"",(-'TCO Calculator Inputs'!$E$64*'TCO Calculator Inputs'!$E$47)/'TCO Calculator Inputs'!$E$19)*('TCO Calculator Inputs'!$E$20/'TCO Calculator Inputs'!$E$65)),"")</f>
        <v>-400</v>
      </c>
      <c r="G47" s="73">
        <f ca="1" xml:space="preserve"> IF(CELL("type",G$27)="v",IF('TCO Calculator Inputs'!$E$63=1,"",IF(G27=0,"",(-'TCO Calculator Inputs'!$E$64*'TCO Calculator Inputs'!$E$47)/'TCO Calculator Inputs'!$E$19)*('TCO Calculator Inputs'!$E$20/'TCO Calculator Inputs'!$E$65)),"")</f>
        <v>-400</v>
      </c>
      <c r="H47" s="73">
        <f ca="1" xml:space="preserve"> IF(CELL("type",H$27)="v",IF('TCO Calculator Inputs'!$E$63=1,"",IF(H27=0,"",(-'TCO Calculator Inputs'!$E$64*'TCO Calculator Inputs'!$E$47)/'TCO Calculator Inputs'!$E$19)*('TCO Calculator Inputs'!$E$20/'TCO Calculator Inputs'!$E$65)),"")</f>
        <v>-400</v>
      </c>
      <c r="I47" s="73">
        <f ca="1" xml:space="preserve"> IF(CELL("type",I$27)="v",IF('TCO Calculator Inputs'!$E$63=1,"",IF(I27=0,"",(-'TCO Calculator Inputs'!$E$64*'TCO Calculator Inputs'!$E$47)/'TCO Calculator Inputs'!$E$19)*('TCO Calculator Inputs'!$E$20/'TCO Calculator Inputs'!$E$65)),"")</f>
        <v>-400</v>
      </c>
      <c r="J47" s="73">
        <f ca="1" xml:space="preserve"> IF(CELL("type",J$27)="v",IF('TCO Calculator Inputs'!$E$63=1,"",IF(J27=0,"",(-'TCO Calculator Inputs'!$E$64*'TCO Calculator Inputs'!$E$47)/'TCO Calculator Inputs'!$E$19)*('TCO Calculator Inputs'!$E$20/'TCO Calculator Inputs'!$E$65)),"")</f>
        <v>-400</v>
      </c>
      <c r="K47" s="73">
        <f ca="1" xml:space="preserve"> IF(CELL("type",K$27)="v",IF('TCO Calculator Inputs'!$E$63=1,"",IF(K27=0,"",(-'TCO Calculator Inputs'!$E$64*'TCO Calculator Inputs'!$E$47)/'TCO Calculator Inputs'!$E$19)*('TCO Calculator Inputs'!$E$20/'TCO Calculator Inputs'!$E$65)),"")</f>
        <v>-400</v>
      </c>
      <c r="L47" s="73">
        <f ca="1" xml:space="preserve"> IF(CELL("type",L$27)="v",IF('TCO Calculator Inputs'!$E$63=1,"",IF(L27=0,"",(-'TCO Calculator Inputs'!$E$64*'TCO Calculator Inputs'!$E$47)/'TCO Calculator Inputs'!$E$19)*('TCO Calculator Inputs'!$E$20/'TCO Calculator Inputs'!$E$65)),"")</f>
        <v>-400</v>
      </c>
      <c r="M47" s="73">
        <f ca="1" xml:space="preserve"> IF(CELL("type",M$27)="v",IF('TCO Calculator Inputs'!$E$63=1,"",IF(M27=0,"",(-'TCO Calculator Inputs'!$E$64*'TCO Calculator Inputs'!$E$47)/'TCO Calculator Inputs'!$E$19)*('TCO Calculator Inputs'!$E$20/'TCO Calculator Inputs'!$E$65)),"")</f>
        <v>-400</v>
      </c>
      <c r="N47" s="73" t="str">
        <f ca="1" xml:space="preserve"> IF(CELL("type",N$27)="v",IF('TCO Calculator Inputs'!$E$63=1,"",IF(N27=0,"",(-'TCO Calculator Inputs'!$E$64*'TCO Calculator Inputs'!$E$47)/'TCO Calculator Inputs'!$E$19)*('TCO Calculator Inputs'!$E$20/'TCO Calculator Inputs'!$E$65)),"")</f>
        <v/>
      </c>
      <c r="O47" s="73" t="str">
        <f ca="1" xml:space="preserve"> IF(CELL("type",O$27)="v",IF('TCO Calculator Inputs'!$E$63=1,"",IF(O27=0,"",(-'TCO Calculator Inputs'!$E$64*'TCO Calculator Inputs'!$E$47)/'TCO Calculator Inputs'!$E$19)*('TCO Calculator Inputs'!$E$20/'TCO Calculator Inputs'!$E$65)),"")</f>
        <v/>
      </c>
      <c r="P47" s="73" t="str">
        <f ca="1" xml:space="preserve"> IF(CELL("type",P$27)="v",IF('TCO Calculator Inputs'!$E$63=1,"",IF(P27=0,"",(-'TCO Calculator Inputs'!$E$64*'TCO Calculator Inputs'!$E$47)/'TCO Calculator Inputs'!$E$19)*('TCO Calculator Inputs'!$E$20/'TCO Calculator Inputs'!$E$65)),"")</f>
        <v/>
      </c>
      <c r="Q47" s="73" t="str">
        <f ca="1" xml:space="preserve"> IF(CELL("type",Q$27)="v",IF('TCO Calculator Inputs'!$E$63=1,"",IF(Q27=0,"",(-'TCO Calculator Inputs'!$E$64*'TCO Calculator Inputs'!$E$47)/'TCO Calculator Inputs'!$E$19)*('TCO Calculator Inputs'!$E$20/'TCO Calculator Inputs'!$E$65)),"")</f>
        <v/>
      </c>
      <c r="R47" s="73" t="str">
        <f ca="1" xml:space="preserve"> IF(CELL("type",R$27)="v",IF('TCO Calculator Inputs'!$E$63=1,"",IF(R27=0,"",(-'TCO Calculator Inputs'!$E$64*'TCO Calculator Inputs'!$E$47)/'TCO Calculator Inputs'!$E$19)*('TCO Calculator Inputs'!$E$20/'TCO Calculator Inputs'!$E$65)),"")</f>
        <v/>
      </c>
      <c r="S47" s="73" t="str">
        <f ca="1" xml:space="preserve"> IF(CELL("type",S$27)="v",IF('TCO Calculator Inputs'!$E$63=1,"",IF(S27=0,"",(-'TCO Calculator Inputs'!$E$64*'TCO Calculator Inputs'!$E$47)/'TCO Calculator Inputs'!$E$19)*('TCO Calculator Inputs'!$E$20/'TCO Calculator Inputs'!$E$65)),"")</f>
        <v/>
      </c>
      <c r="T47" s="73" t="str">
        <f ca="1" xml:space="preserve"> IF(CELL("type",T$27)="v",IF('TCO Calculator Inputs'!$E$63=1,"",IF(T27=0,"",(-'TCO Calculator Inputs'!$E$64*'TCO Calculator Inputs'!$E$47)/'TCO Calculator Inputs'!$E$19)*('TCO Calculator Inputs'!$E$20/'TCO Calculator Inputs'!$E$65)),"")</f>
        <v/>
      </c>
      <c r="U47" s="73" t="str">
        <f ca="1" xml:space="preserve"> IF(CELL("type",U$27)="v",IF('TCO Calculator Inputs'!$E$63=1,"",IF(U27=0,"",(-'TCO Calculator Inputs'!$E$64*'TCO Calculator Inputs'!$E$47)/'TCO Calculator Inputs'!$E$19)*('TCO Calculator Inputs'!$E$20/'TCO Calculator Inputs'!$E$65)),"")</f>
        <v/>
      </c>
      <c r="V47" s="73" t="str">
        <f ca="1" xml:space="preserve"> IF(CELL("type",V$27)="v",IF('TCO Calculator Inputs'!$E$63=1,"",IF(V27=0,"",(-'TCO Calculator Inputs'!$E$64*'TCO Calculator Inputs'!$E$47)/'TCO Calculator Inputs'!$E$19)*('TCO Calculator Inputs'!$E$20/'TCO Calculator Inputs'!$E$65)),"")</f>
        <v/>
      </c>
      <c r="W47" s="73" t="str">
        <f ca="1" xml:space="preserve"> IF(CELL("type",W$27)="v",IF('TCO Calculator Inputs'!$E$63=1,"",IF(W27=0,"",(-'TCO Calculator Inputs'!$E$64*'TCO Calculator Inputs'!$E$47)/'TCO Calculator Inputs'!$E$19)*('TCO Calculator Inputs'!$E$20/'TCO Calculator Inputs'!$E$65)),"")</f>
        <v/>
      </c>
      <c r="X47" s="73" t="str">
        <f ca="1" xml:space="preserve"> IF(CELL("type",X$27)="v",IF('TCO Calculator Inputs'!$E$63=1,"",IF(X27=0,"",(-'TCO Calculator Inputs'!$E$64*'TCO Calculator Inputs'!$E$47)/'TCO Calculator Inputs'!$E$19)*('TCO Calculator Inputs'!$E$20/'TCO Calculator Inputs'!$E$65)),"")</f>
        <v/>
      </c>
      <c r="Y47" s="73" t="str">
        <f ca="1" xml:space="preserve"> IF(CELL("type",Y$27)="v",IF('TCO Calculator Inputs'!$E$63=1,"",IF(Y27=0,"",(-'TCO Calculator Inputs'!$E$64*'TCO Calculator Inputs'!$E$47)/'TCO Calculator Inputs'!$E$19)*('TCO Calculator Inputs'!$E$20/'TCO Calculator Inputs'!$E$65)),"")</f>
        <v/>
      </c>
      <c r="Z47" s="73" t="str">
        <f ca="1" xml:space="preserve"> IF(CELL("type",Z$27)="v",IF('TCO Calculator Inputs'!$E$63=1,"",IF(Z27=0,"",(-'TCO Calculator Inputs'!$E$64*'TCO Calculator Inputs'!$E$47)/'TCO Calculator Inputs'!$E$19)*('TCO Calculator Inputs'!$E$20/'TCO Calculator Inputs'!$E$65)),"")</f>
        <v/>
      </c>
      <c r="AA47" s="73" t="str">
        <f ca="1" xml:space="preserve"> IF(CELL("type",AA$27)="v",IF('TCO Calculator Inputs'!$E$63=1,"",IF(AA27=0,"",(-'TCO Calculator Inputs'!$E$64*'TCO Calculator Inputs'!$E$47)/'TCO Calculator Inputs'!$E$19)*('TCO Calculator Inputs'!$E$20/'TCO Calculator Inputs'!$E$65)),"")</f>
        <v/>
      </c>
      <c r="AB47" s="73" t="str">
        <f ca="1" xml:space="preserve"> IF(CELL("type",AB$27)="v",IF('TCO Calculator Inputs'!$E$63=1,"",IF(AB27=0,"",(-'TCO Calculator Inputs'!$E$64*'TCO Calculator Inputs'!$E$47)/'TCO Calculator Inputs'!$E$19)*('TCO Calculator Inputs'!$E$20/'TCO Calculator Inputs'!$E$65)),"")</f>
        <v/>
      </c>
      <c r="AC47" s="73" t="str">
        <f ca="1" xml:space="preserve"> IF(CELL("type",AC$27)="v",IF('TCO Calculator Inputs'!$E$63=1,"",IF(AC27=0,"",(-'TCO Calculator Inputs'!$E$64*'TCO Calculator Inputs'!$E$47)/'TCO Calculator Inputs'!$E$19)*('TCO Calculator Inputs'!$E$20/'TCO Calculator Inputs'!$E$65)),"")</f>
        <v/>
      </c>
      <c r="AD47" s="73" t="str">
        <f ca="1" xml:space="preserve"> IF(CELL("type",AD$27)="v",IF('TCO Calculator Inputs'!$E$63=1,"",IF(AD27=0,"",(-'TCO Calculator Inputs'!$E$64*'TCO Calculator Inputs'!$E$47)/'TCO Calculator Inputs'!$E$19)*('TCO Calculator Inputs'!$E$20/'TCO Calculator Inputs'!$E$65)),"")</f>
        <v/>
      </c>
      <c r="AE47" s="73" t="str">
        <f ca="1" xml:space="preserve"> IF(CELL("type",AE$27)="v",IF('TCO Calculator Inputs'!$E$63=1,"",IF(AE27=0,"",(-'TCO Calculator Inputs'!$E$64*'TCO Calculator Inputs'!$E$47)/'TCO Calculator Inputs'!$E$19)*('TCO Calculator Inputs'!$E$20/'TCO Calculator Inputs'!$E$65)),"")</f>
        <v/>
      </c>
      <c r="AF47" s="73" t="str">
        <f ca="1" xml:space="preserve"> IF(CELL("type",AF$27)="v",IF('TCO Calculator Inputs'!$E$63=1,"",IF(AF27=0,"",(-'TCO Calculator Inputs'!$E$64*'TCO Calculator Inputs'!$E$47)/'TCO Calculator Inputs'!$E$19)*('TCO Calculator Inputs'!$E$20/'TCO Calculator Inputs'!$E$65)),"")</f>
        <v/>
      </c>
      <c r="AG47" s="73" t="str">
        <f ca="1" xml:space="preserve"> IF(CELL("type",AG$27)="v",IF('TCO Calculator Inputs'!$E$63=1,"",IF(AG27=0,"",(-'TCO Calculator Inputs'!$E$64*'TCO Calculator Inputs'!$E$47)/'TCO Calculator Inputs'!$E$19)*('TCO Calculator Inputs'!$E$20/'TCO Calculator Inputs'!$E$65)),"")</f>
        <v/>
      </c>
    </row>
    <row r="48" spans="2:33" x14ac:dyDescent="0.25">
      <c r="B48" s="113" t="s">
        <v>166</v>
      </c>
      <c r="C48" s="73" t="str">
        <f ca="1">IF('TCO Calculator Inputs'!$E$68=1,"",IF(CELL("type",C$27)="v",-('TCO Calculator Inputs'!$E$70*('TCO Calculator Inputs'!$E$49-'TCO Calculator Inputs'!E50))*'TCO Calculator Inputs'!$E$20,""))</f>
        <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2:33" x14ac:dyDescent="0.25">
      <c r="B49" s="108" t="s">
        <v>185</v>
      </c>
      <c r="C49" s="109"/>
      <c r="D49" s="73" t="str">
        <f ca="1">IF('TCO Calculator Inputs'!$E$68=2,IF(CELL("type",D$27)="v",IF('TCO Calculator Inputs'!$E$70=1,"",(-((1-'TCO Calculator Inputs'!$E$70-'TCO Calculator Inputs'!$E$51)*'TCO Calculator Inputs'!$E$49/'TCO Calculator Inputs'!$E$19)*'TCO Calculator Inputs'!$E$20)),""),"")</f>
        <v/>
      </c>
      <c r="E49" s="73" t="str">
        <f ca="1">IF('TCO Calculator Inputs'!$E$68=2,IF(CELL("type",E$27)="v",IF('TCO Calculator Inputs'!$E$70=1,"",(-((1-'TCO Calculator Inputs'!$E$70-'TCO Calculator Inputs'!$E$51)*'TCO Calculator Inputs'!$E$49/'TCO Calculator Inputs'!$E$19)*'TCO Calculator Inputs'!$E$20)),""),"")</f>
        <v/>
      </c>
      <c r="F49" s="73" t="str">
        <f ca="1">IF('TCO Calculator Inputs'!$E$68=2,IF(CELL("type",F$27)="v",IF('TCO Calculator Inputs'!$E$70=1,"",(-((1-'TCO Calculator Inputs'!$E$70-'TCO Calculator Inputs'!$E$51)*'TCO Calculator Inputs'!$E$49/'TCO Calculator Inputs'!$E$19)*'TCO Calculator Inputs'!$E$20)),""),"")</f>
        <v/>
      </c>
      <c r="G49" s="73" t="str">
        <f ca="1">IF('TCO Calculator Inputs'!$E$68=2,IF(CELL("type",G$27)="v",IF('TCO Calculator Inputs'!$E$70=1,"",(-((1-'TCO Calculator Inputs'!$E$70-'TCO Calculator Inputs'!$E$51)*'TCO Calculator Inputs'!$E$49/'TCO Calculator Inputs'!$E$19)*'TCO Calculator Inputs'!$E$20)),""),"")</f>
        <v/>
      </c>
      <c r="H49" s="73" t="str">
        <f ca="1">IF('TCO Calculator Inputs'!$E$68=2,IF(CELL("type",H$27)="v",IF('TCO Calculator Inputs'!$E$70=1,"",(-((1-'TCO Calculator Inputs'!$E$70-'TCO Calculator Inputs'!$E$51)*'TCO Calculator Inputs'!$E$49/'TCO Calculator Inputs'!$E$19)*'TCO Calculator Inputs'!$E$20)),""),"")</f>
        <v/>
      </c>
      <c r="I49" s="73" t="str">
        <f ca="1">IF('TCO Calculator Inputs'!$E$68=2,IF(CELL("type",I$27)="v",IF('TCO Calculator Inputs'!$E$70=1,"",(-((1-'TCO Calculator Inputs'!$E$70-'TCO Calculator Inputs'!$E$51)*'TCO Calculator Inputs'!$E$49/'TCO Calculator Inputs'!$E$19)*'TCO Calculator Inputs'!$E$20)),""),"")</f>
        <v/>
      </c>
      <c r="J49" s="73" t="str">
        <f ca="1">IF('TCO Calculator Inputs'!$E$68=2,IF(CELL("type",J$27)="v",IF('TCO Calculator Inputs'!$E$70=1,"",(-((1-'TCO Calculator Inputs'!$E$70-'TCO Calculator Inputs'!$E$51)*'TCO Calculator Inputs'!$E$49/'TCO Calculator Inputs'!$E$19)*'TCO Calculator Inputs'!$E$20)),""),"")</f>
        <v/>
      </c>
      <c r="K49" s="73" t="str">
        <f ca="1">IF('TCO Calculator Inputs'!$E$68=2,IF(CELL("type",K$27)="v",IF('TCO Calculator Inputs'!$E$70=1,"",(-((1-'TCO Calculator Inputs'!$E$70-'TCO Calculator Inputs'!$E$51)*'TCO Calculator Inputs'!$E$49/'TCO Calculator Inputs'!$E$19)*'TCO Calculator Inputs'!$E$20)),""),"")</f>
        <v/>
      </c>
      <c r="L49" s="73" t="str">
        <f ca="1">IF('TCO Calculator Inputs'!$E$68=2,IF(CELL("type",L$27)="v",IF('TCO Calculator Inputs'!$E$70=1,"",(-((1-'TCO Calculator Inputs'!$E$70-'TCO Calculator Inputs'!$E$51)*'TCO Calculator Inputs'!$E$49/'TCO Calculator Inputs'!$E$19)*'TCO Calculator Inputs'!$E$20)),""),"")</f>
        <v/>
      </c>
      <c r="M49" s="73" t="str">
        <f ca="1">IF('TCO Calculator Inputs'!$E$68=2,IF(CELL("type",M$27)="v",IF('TCO Calculator Inputs'!$E$70=1,"",(-((1-'TCO Calculator Inputs'!$E$70-'TCO Calculator Inputs'!$E$51)*'TCO Calculator Inputs'!$E$49/'TCO Calculator Inputs'!$E$19)*'TCO Calculator Inputs'!$E$20)),""),"")</f>
        <v/>
      </c>
      <c r="N49" s="73" t="str">
        <f ca="1">IF('TCO Calculator Inputs'!$E$68=2,IF(CELL("type",N$27)="v",IF('TCO Calculator Inputs'!$E$70=1,"",(-((1-'TCO Calculator Inputs'!$E$70-'TCO Calculator Inputs'!$E$51)*'TCO Calculator Inputs'!$E$49/'TCO Calculator Inputs'!$E$19)*'TCO Calculator Inputs'!$E$20)),""),"")</f>
        <v/>
      </c>
      <c r="O49" s="73" t="str">
        <f ca="1">IF('TCO Calculator Inputs'!$E$68=2,IF(CELL("type",O$27)="v",IF('TCO Calculator Inputs'!$E$70=1,"",(-((1-'TCO Calculator Inputs'!$E$70-'TCO Calculator Inputs'!$E$51)*'TCO Calculator Inputs'!$E$49/'TCO Calculator Inputs'!$E$19)*'TCO Calculator Inputs'!$E$20)),""),"")</f>
        <v/>
      </c>
      <c r="P49" s="73" t="str">
        <f ca="1">IF('TCO Calculator Inputs'!$E$68=2,IF(CELL("type",P$27)="v",IF('TCO Calculator Inputs'!$E$70=1,"",(-((1-'TCO Calculator Inputs'!$E$70-'TCO Calculator Inputs'!$E$51)*'TCO Calculator Inputs'!$E$49/'TCO Calculator Inputs'!$E$19)*'TCO Calculator Inputs'!$E$20)),""),"")</f>
        <v/>
      </c>
      <c r="Q49" s="73" t="str">
        <f ca="1">IF('TCO Calculator Inputs'!$E$68=2,IF(CELL("type",Q$27)="v",IF('TCO Calculator Inputs'!$E$70=1,"",(-((1-'TCO Calculator Inputs'!$E$70-'TCO Calculator Inputs'!$E$51)*'TCO Calculator Inputs'!$E$49/'TCO Calculator Inputs'!$E$19)*'TCO Calculator Inputs'!$E$20)),""),"")</f>
        <v/>
      </c>
      <c r="R49" s="73" t="str">
        <f ca="1">IF('TCO Calculator Inputs'!$E$68=2,IF(CELL("type",R$27)="v",IF('TCO Calculator Inputs'!$E$70=1,"",(-((1-'TCO Calculator Inputs'!$E$70-'TCO Calculator Inputs'!$E$51)*'TCO Calculator Inputs'!$E$49/'TCO Calculator Inputs'!$E$19)*'TCO Calculator Inputs'!$E$20)),""),"")</f>
        <v/>
      </c>
      <c r="S49" s="73" t="str">
        <f ca="1">IF('TCO Calculator Inputs'!$E$68=2,IF(CELL("type",S$27)="v",IF('TCO Calculator Inputs'!$E$70=1,"",(-((1-'TCO Calculator Inputs'!$E$70-'TCO Calculator Inputs'!$E$51)*'TCO Calculator Inputs'!$E$49/'TCO Calculator Inputs'!$E$19)*'TCO Calculator Inputs'!$E$20)),""),"")</f>
        <v/>
      </c>
      <c r="T49" s="73" t="str">
        <f ca="1">IF('TCO Calculator Inputs'!$E$68=2,IF(CELL("type",T$27)="v",IF('TCO Calculator Inputs'!$E$70=1,"",(-((1-'TCO Calculator Inputs'!$E$70-'TCO Calculator Inputs'!$E$51)*'TCO Calculator Inputs'!$E$49/'TCO Calculator Inputs'!$E$19)*'TCO Calculator Inputs'!$E$20)),""),"")</f>
        <v/>
      </c>
      <c r="U49" s="73" t="str">
        <f ca="1">IF('TCO Calculator Inputs'!$E$68=2,IF(CELL("type",U$27)="v",IF('TCO Calculator Inputs'!$E$70=1,"",(-((1-'TCO Calculator Inputs'!$E$70-'TCO Calculator Inputs'!$E$51)*'TCO Calculator Inputs'!$E$49/'TCO Calculator Inputs'!$E$19)*'TCO Calculator Inputs'!$E$20)),""),"")</f>
        <v/>
      </c>
      <c r="V49" s="73" t="str">
        <f ca="1">IF('TCO Calculator Inputs'!$E$68=2,IF(CELL("type",V$27)="v",IF('TCO Calculator Inputs'!$E$70=1,"",(-((1-'TCO Calculator Inputs'!$E$70-'TCO Calculator Inputs'!$E$51)*'TCO Calculator Inputs'!$E$49/'TCO Calculator Inputs'!$E$19)*'TCO Calculator Inputs'!$E$20)),""),"")</f>
        <v/>
      </c>
      <c r="W49" s="73" t="str">
        <f ca="1">IF('TCO Calculator Inputs'!$E$68=2,IF(CELL("type",W$27)="v",IF('TCO Calculator Inputs'!$E$70=1,"",(-((1-'TCO Calculator Inputs'!$E$70-'TCO Calculator Inputs'!$E$51)*'TCO Calculator Inputs'!$E$49/'TCO Calculator Inputs'!$E$19)*'TCO Calculator Inputs'!$E$20)),""),"")</f>
        <v/>
      </c>
      <c r="X49" s="73" t="str">
        <f ca="1">IF('TCO Calculator Inputs'!$E$68=2,IF(CELL("type",X$27)="v",IF('TCO Calculator Inputs'!$E$70=1,"",(-((1-'TCO Calculator Inputs'!$E$70-'TCO Calculator Inputs'!$E$51)*'TCO Calculator Inputs'!$E$49/'TCO Calculator Inputs'!$E$19)*'TCO Calculator Inputs'!$E$20)),""),"")</f>
        <v/>
      </c>
      <c r="Y49" s="73" t="str">
        <f ca="1">IF('TCO Calculator Inputs'!$E$68=2,IF(CELL("type",Y$27)="v",IF('TCO Calculator Inputs'!$E$70=1,"",(-((1-'TCO Calculator Inputs'!$E$70-'TCO Calculator Inputs'!$E$51)*'TCO Calculator Inputs'!$E$49/'TCO Calculator Inputs'!$E$19)*'TCO Calculator Inputs'!$E$20)),""),"")</f>
        <v/>
      </c>
      <c r="Z49" s="73" t="str">
        <f ca="1">IF('TCO Calculator Inputs'!$E$68=2,IF(CELL("type",Z$27)="v",IF('TCO Calculator Inputs'!$E$70=1,"",(-((1-'TCO Calculator Inputs'!$E$70-'TCO Calculator Inputs'!$E$51)*'TCO Calculator Inputs'!$E$49/'TCO Calculator Inputs'!$E$19)*'TCO Calculator Inputs'!$E$20)),""),"")</f>
        <v/>
      </c>
      <c r="AA49" s="73" t="str">
        <f ca="1">IF('TCO Calculator Inputs'!$E$68=2,IF(CELL("type",AA$27)="v",IF('TCO Calculator Inputs'!$E$70=1,"",(-((1-'TCO Calculator Inputs'!$E$70-'TCO Calculator Inputs'!$E$51)*'TCO Calculator Inputs'!$E$49/'TCO Calculator Inputs'!$E$19)*'TCO Calculator Inputs'!$E$20)),""),"")</f>
        <v/>
      </c>
      <c r="AB49" s="73" t="str">
        <f ca="1">IF('TCO Calculator Inputs'!$E$68=2,IF(CELL("type",AB$27)="v",IF('TCO Calculator Inputs'!$E$70=1,"",(-((1-'TCO Calculator Inputs'!$E$70-'TCO Calculator Inputs'!$E$51)*'TCO Calculator Inputs'!$E$49/'TCO Calculator Inputs'!$E$19)*'TCO Calculator Inputs'!$E$20)),""),"")</f>
        <v/>
      </c>
      <c r="AC49" s="73" t="str">
        <f ca="1">IF('TCO Calculator Inputs'!$E$68=2,IF(CELL("type",AC$27)="v",IF('TCO Calculator Inputs'!$E$70=1,"",(-((1-'TCO Calculator Inputs'!$E$70-'TCO Calculator Inputs'!$E$51)*'TCO Calculator Inputs'!$E$49/'TCO Calculator Inputs'!$E$19)*'TCO Calculator Inputs'!$E$20)),""),"")</f>
        <v/>
      </c>
      <c r="AD49" s="73" t="str">
        <f ca="1">IF('TCO Calculator Inputs'!$E$68=2,IF(CELL("type",AD$27)="v",IF('TCO Calculator Inputs'!$E$70=1,"",(-((1-'TCO Calculator Inputs'!$E$70-'TCO Calculator Inputs'!$E$51)*'TCO Calculator Inputs'!$E$49/'TCO Calculator Inputs'!$E$19)*'TCO Calculator Inputs'!$E$20)),""),"")</f>
        <v/>
      </c>
      <c r="AE49" s="73" t="str">
        <f ca="1">IF('TCO Calculator Inputs'!$E$68=2,IF(CELL("type",AE$27)="v",IF('TCO Calculator Inputs'!$E$70=1,"",(-((1-'TCO Calculator Inputs'!$E$70-'TCO Calculator Inputs'!$E$51)*'TCO Calculator Inputs'!$E$49/'TCO Calculator Inputs'!$E$19)*'TCO Calculator Inputs'!$E$20)),""),"")</f>
        <v/>
      </c>
      <c r="AF49" s="73" t="str">
        <f ca="1">IF('TCO Calculator Inputs'!$E$68=2,IF(CELL("type",AF$27)="v",IF('TCO Calculator Inputs'!$E$70=1,"",(-((1-'TCO Calculator Inputs'!$E$70-'TCO Calculator Inputs'!$E$51)*'TCO Calculator Inputs'!$E$49/'TCO Calculator Inputs'!$E$19)*'TCO Calculator Inputs'!$E$20)),""),"")</f>
        <v/>
      </c>
      <c r="AG49" s="73" t="str">
        <f ca="1">IF('TCO Calculator Inputs'!$E$68=2,IF(CELL("type",AG$27)="v",IF('TCO Calculator Inputs'!$E$70=1,"",(-((1-'TCO Calculator Inputs'!$E$70-'TCO Calculator Inputs'!$E$51)*'TCO Calculator Inputs'!$E$49/'TCO Calculator Inputs'!$E$19)*'TCO Calculator Inputs'!$E$20)),""),"")</f>
        <v/>
      </c>
    </row>
    <row r="50" spans="2:33" x14ac:dyDescent="0.25">
      <c r="B50" s="113" t="s">
        <v>184</v>
      </c>
      <c r="C50" s="74"/>
      <c r="D50" s="73" t="str">
        <f ca="1">IF('TCO Calculator Inputs'!$E$68=2,IF(CELL("type",D$27)="v",(D$49+'TCO Calculator Inputs'!$E$51*'TCO Calculator Inputs'!$E$49)*'TCO Calculator Inputs'!$E$69,""),"")</f>
        <v/>
      </c>
      <c r="E50" s="73" t="str">
        <f ca="1">IF('TCO Calculator Inputs'!$E$68=2,IF(CELL("type",E$27)="v",(E$49+'TCO Calculator Inputs'!$E$51*'TCO Calculator Inputs'!$E$49)*'TCO Calculator Inputs'!$E$69,""),"")</f>
        <v/>
      </c>
      <c r="F50" s="73" t="str">
        <f ca="1">IF('TCO Calculator Inputs'!$E$68=2,IF(CELL("type",F$27)="v",(F$49+'TCO Calculator Inputs'!$E$51*'TCO Calculator Inputs'!$E$49)*'TCO Calculator Inputs'!$E$69,""),"")</f>
        <v/>
      </c>
      <c r="G50" s="73" t="str">
        <f ca="1">IF('TCO Calculator Inputs'!$E$68=2,IF(CELL("type",G$27)="v",(G$49+'TCO Calculator Inputs'!$E$51*'TCO Calculator Inputs'!$E$49)*'TCO Calculator Inputs'!$E$69,""),"")</f>
        <v/>
      </c>
      <c r="H50" s="73" t="str">
        <f ca="1">IF('TCO Calculator Inputs'!$E$68=2,IF(CELL("type",H$27)="v",(H$49+'TCO Calculator Inputs'!$E$51*'TCO Calculator Inputs'!$E$49)*'TCO Calculator Inputs'!$E$69,""),"")</f>
        <v/>
      </c>
      <c r="I50" s="73" t="str">
        <f ca="1">IF('TCO Calculator Inputs'!$E$68=2,IF(CELL("type",I$27)="v",(I$49+'TCO Calculator Inputs'!$E$51*'TCO Calculator Inputs'!$E$49)*'TCO Calculator Inputs'!$E$69,""),"")</f>
        <v/>
      </c>
      <c r="J50" s="73" t="str">
        <f ca="1">IF('TCO Calculator Inputs'!$E$68=2,IF(CELL("type",J$27)="v",(J$49+'TCO Calculator Inputs'!$E$51*'TCO Calculator Inputs'!$E$49)*'TCO Calculator Inputs'!$E$69,""),"")</f>
        <v/>
      </c>
      <c r="K50" s="73" t="str">
        <f ca="1">IF('TCO Calculator Inputs'!$E$68=2,IF(CELL("type",K$27)="v",(K$49+'TCO Calculator Inputs'!$E$51*'TCO Calculator Inputs'!$E$49)*'TCO Calculator Inputs'!$E$69,""),"")</f>
        <v/>
      </c>
      <c r="L50" s="73" t="str">
        <f ca="1">IF('TCO Calculator Inputs'!$E$68=2,IF(CELL("type",L$27)="v",(L$49+'TCO Calculator Inputs'!$E$51*'TCO Calculator Inputs'!$E$49)*'TCO Calculator Inputs'!$E$69,""),"")</f>
        <v/>
      </c>
      <c r="M50" s="73" t="str">
        <f ca="1">IF('TCO Calculator Inputs'!$E$68=2,IF(CELL("type",M$27)="v",(M$49+'TCO Calculator Inputs'!$E$51*'TCO Calculator Inputs'!$E$49)*'TCO Calculator Inputs'!$E$69,""),"")</f>
        <v/>
      </c>
      <c r="N50" s="73" t="str">
        <f ca="1">IF('TCO Calculator Inputs'!$E$68=2,IF(CELL("type",N$27)="v",(N$49+'TCO Calculator Inputs'!$E$51*'TCO Calculator Inputs'!$E$49)*'TCO Calculator Inputs'!$E$69,""),"")</f>
        <v/>
      </c>
      <c r="O50" s="73" t="str">
        <f ca="1">IF('TCO Calculator Inputs'!$E$68=2,IF(CELL("type",O$27)="v",(O$49+'TCO Calculator Inputs'!$E$51*'TCO Calculator Inputs'!$E$49)*'TCO Calculator Inputs'!$E$69,""),"")</f>
        <v/>
      </c>
      <c r="P50" s="73" t="str">
        <f ca="1">IF('TCO Calculator Inputs'!$E$68=2,IF(CELL("type",P$27)="v",(P$49+'TCO Calculator Inputs'!$E$51*'TCO Calculator Inputs'!$E$49)*'TCO Calculator Inputs'!$E$69,""),"")</f>
        <v/>
      </c>
      <c r="Q50" s="73" t="str">
        <f ca="1">IF('TCO Calculator Inputs'!$E$68=2,IF(CELL("type",Q$27)="v",(Q$49+'TCO Calculator Inputs'!$E$51*'TCO Calculator Inputs'!$E$49)*'TCO Calculator Inputs'!$E$69,""),"")</f>
        <v/>
      </c>
      <c r="R50" s="73" t="str">
        <f ca="1">IF('TCO Calculator Inputs'!$E$68=2,IF(CELL("type",R$27)="v",(R$49+'TCO Calculator Inputs'!$E$51*'TCO Calculator Inputs'!$E$49)*'TCO Calculator Inputs'!$E$69,""),"")</f>
        <v/>
      </c>
      <c r="S50" s="73" t="str">
        <f ca="1">IF('TCO Calculator Inputs'!$E$68=2,IF(CELL("type",S$27)="v",(S$49+'TCO Calculator Inputs'!$E$51*'TCO Calculator Inputs'!$E$49)*'TCO Calculator Inputs'!$E$69,""),"")</f>
        <v/>
      </c>
      <c r="T50" s="73" t="str">
        <f ca="1">IF('TCO Calculator Inputs'!$E$68=2,IF(CELL("type",T$27)="v",(T$49+'TCO Calculator Inputs'!$E$51*'TCO Calculator Inputs'!$E$49)*'TCO Calculator Inputs'!$E$69,""),"")</f>
        <v/>
      </c>
      <c r="U50" s="73" t="str">
        <f ca="1">IF('TCO Calculator Inputs'!$E$68=2,IF(CELL("type",U$27)="v",(U$49+'TCO Calculator Inputs'!$E$51*'TCO Calculator Inputs'!$E$49)*'TCO Calculator Inputs'!$E$69,""),"")</f>
        <v/>
      </c>
      <c r="V50" s="73" t="str">
        <f ca="1">IF('TCO Calculator Inputs'!$E$68=2,IF(CELL("type",V$27)="v",(V$49+'TCO Calculator Inputs'!$E$51*'TCO Calculator Inputs'!$E$49)*'TCO Calculator Inputs'!$E$69,""),"")</f>
        <v/>
      </c>
      <c r="W50" s="73" t="str">
        <f ca="1">IF('TCO Calculator Inputs'!$E$68=2,IF(CELL("type",W$27)="v",(W$49+'TCO Calculator Inputs'!$E$51*'TCO Calculator Inputs'!$E$49)*'TCO Calculator Inputs'!$E$69,""),"")</f>
        <v/>
      </c>
      <c r="X50" s="73" t="str">
        <f ca="1">IF('TCO Calculator Inputs'!$E$68=2,IF(CELL("type",X$27)="v",(X$49+'TCO Calculator Inputs'!$E$51*'TCO Calculator Inputs'!$E$49)*'TCO Calculator Inputs'!$E$69,""),"")</f>
        <v/>
      </c>
      <c r="Y50" s="73" t="str">
        <f ca="1">IF('TCO Calculator Inputs'!$E$68=2,IF(CELL("type",Y$27)="v",(Y$49+'TCO Calculator Inputs'!$E$51*'TCO Calculator Inputs'!$E$49)*'TCO Calculator Inputs'!$E$69,""),"")</f>
        <v/>
      </c>
      <c r="Z50" s="73" t="str">
        <f ca="1">IF('TCO Calculator Inputs'!$E$68=2,IF(CELL("type",Z$27)="v",(Z$49+'TCO Calculator Inputs'!$E$51*'TCO Calculator Inputs'!$E$49)*'TCO Calculator Inputs'!$E$69,""),"")</f>
        <v/>
      </c>
      <c r="AA50" s="73" t="str">
        <f ca="1">IF('TCO Calculator Inputs'!$E$68=2,IF(CELL("type",AA$27)="v",(AA$49+'TCO Calculator Inputs'!$E$51*'TCO Calculator Inputs'!$E$49)*'TCO Calculator Inputs'!$E$69,""),"")</f>
        <v/>
      </c>
      <c r="AB50" s="73" t="str">
        <f ca="1">IF('TCO Calculator Inputs'!$E$68=2,IF(CELL("type",AB$27)="v",(AB$49+'TCO Calculator Inputs'!$E$51*'TCO Calculator Inputs'!$E$49)*'TCO Calculator Inputs'!$E$69,""),"")</f>
        <v/>
      </c>
      <c r="AC50" s="73" t="str">
        <f ca="1">IF('TCO Calculator Inputs'!$E$68=2,IF(CELL("type",AC$27)="v",(AC$49+'TCO Calculator Inputs'!$E$51*'TCO Calculator Inputs'!$E$49)*'TCO Calculator Inputs'!$E$69,""),"")</f>
        <v/>
      </c>
      <c r="AD50" s="73" t="str">
        <f ca="1">IF('TCO Calculator Inputs'!$E$68=2,IF(CELL("type",AD$27)="v",(AD$49+'TCO Calculator Inputs'!$E$51*'TCO Calculator Inputs'!$E$49)*'TCO Calculator Inputs'!$E$69,""),"")</f>
        <v/>
      </c>
      <c r="AE50" s="73" t="str">
        <f ca="1">IF('TCO Calculator Inputs'!$E$68=2,IF(CELL("type",AE$27)="v",(AE$49+'TCO Calculator Inputs'!$E$51*'TCO Calculator Inputs'!$E$49)*'TCO Calculator Inputs'!$E$69,""),"")</f>
        <v/>
      </c>
      <c r="AF50" s="73" t="str">
        <f ca="1">IF('TCO Calculator Inputs'!$E$68=2,IF(CELL("type",AF$27)="v",(AF$49+'TCO Calculator Inputs'!$E$51*'TCO Calculator Inputs'!$E$49)*'TCO Calculator Inputs'!$E$69,""),"")</f>
        <v/>
      </c>
      <c r="AG50" s="73" t="str">
        <f ca="1">IF('TCO Calculator Inputs'!$E$68=2,IF(CELL("type",AG$27)="v",(AG$49+'TCO Calculator Inputs'!$E$51*'TCO Calculator Inputs'!$E$49)*'TCO Calculator Inputs'!$E$69,""),"")</f>
        <v/>
      </c>
    </row>
    <row r="51" spans="2:33" x14ac:dyDescent="0.25">
      <c r="B51" s="113" t="s">
        <v>186</v>
      </c>
      <c r="C51" s="74"/>
      <c r="D51" s="73" t="str">
        <f ca="1">IF('TCO Calculator Inputs'!$E$68=3,IF(CELL("type",D$27)="v",PMT('TCO Calculator Inputs'!$E$69,'TCO Calculator Inputs'!$E$19,('TCO Calculator Inputs'!$E$49-'TCO Calculator Inputs'!$E$50)*(1-'TCO Calculator Inputs'!$E$70),0,0)*'TCO Calculator Inputs'!$E$20,""),"")</f>
        <v/>
      </c>
      <c r="E51" s="73" t="str">
        <f ca="1">IF('TCO Calculator Inputs'!$E$68=3,IF(CELL("type",E$27)="v",PMT('TCO Calculator Inputs'!$E$69,'TCO Calculator Inputs'!$E$19,('TCO Calculator Inputs'!$E$49-'TCO Calculator Inputs'!$E$50)*(1-'TCO Calculator Inputs'!$E$70),0,0)*'TCO Calculator Inputs'!$E$20,""),"")</f>
        <v/>
      </c>
      <c r="F51" s="73" t="str">
        <f ca="1">IF('TCO Calculator Inputs'!$E$68=3,IF(CELL("type",F$27)="v",PMT('TCO Calculator Inputs'!$E$69,'TCO Calculator Inputs'!$E$19,('TCO Calculator Inputs'!$E$49-'TCO Calculator Inputs'!$E$50)*(1-'TCO Calculator Inputs'!$E$70),0,0)*'TCO Calculator Inputs'!$E$20,""),"")</f>
        <v/>
      </c>
      <c r="G51" s="73" t="str">
        <f ca="1">IF('TCO Calculator Inputs'!$E$68=3,IF(CELL("type",G$27)="v",PMT('TCO Calculator Inputs'!$E$69,'TCO Calculator Inputs'!$E$19,('TCO Calculator Inputs'!$E$49-'TCO Calculator Inputs'!$E$50)*(1-'TCO Calculator Inputs'!$E$70),0,0)*'TCO Calculator Inputs'!$E$20,""),"")</f>
        <v/>
      </c>
      <c r="H51" s="73" t="str">
        <f ca="1">IF('TCO Calculator Inputs'!$E$68=3,IF(CELL("type",H$27)="v",PMT('TCO Calculator Inputs'!$E$69,'TCO Calculator Inputs'!$E$19,('TCO Calculator Inputs'!$E$49-'TCO Calculator Inputs'!$E$50)*(1-'TCO Calculator Inputs'!$E$70),0,0)*'TCO Calculator Inputs'!$E$20,""),"")</f>
        <v/>
      </c>
      <c r="I51" s="73" t="str">
        <f ca="1">IF('TCO Calculator Inputs'!$E$68=3,IF(CELL("type",I$27)="v",PMT('TCO Calculator Inputs'!$E$69,'TCO Calculator Inputs'!$E$19,('TCO Calculator Inputs'!$E$49-'TCO Calculator Inputs'!$E$50)*(1-'TCO Calculator Inputs'!$E$70),0,0)*'TCO Calculator Inputs'!$E$20,""),"")</f>
        <v/>
      </c>
      <c r="J51" s="73" t="str">
        <f ca="1">IF('TCO Calculator Inputs'!$E$68=3,IF(CELL("type",J$27)="v",PMT('TCO Calculator Inputs'!$E$69,'TCO Calculator Inputs'!$E$19,('TCO Calculator Inputs'!$E$49-'TCO Calculator Inputs'!$E$50)*(1-'TCO Calculator Inputs'!$E$70),0,0)*'TCO Calculator Inputs'!$E$20,""),"")</f>
        <v/>
      </c>
      <c r="K51" s="73" t="str">
        <f ca="1">IF('TCO Calculator Inputs'!$E$68=3,IF(CELL("type",K$27)="v",PMT('TCO Calculator Inputs'!$E$69,'TCO Calculator Inputs'!$E$19,('TCO Calculator Inputs'!$E$49-'TCO Calculator Inputs'!$E$50)*(1-'TCO Calculator Inputs'!$E$70),0,0)*'TCO Calculator Inputs'!$E$20,""),"")</f>
        <v/>
      </c>
      <c r="L51" s="73" t="str">
        <f ca="1">IF('TCO Calculator Inputs'!$E$68=3,IF(CELL("type",L$27)="v",PMT('TCO Calculator Inputs'!$E$69,'TCO Calculator Inputs'!$E$19,('TCO Calculator Inputs'!$E$49-'TCO Calculator Inputs'!$E$50)*(1-'TCO Calculator Inputs'!$E$70),0,0)*'TCO Calculator Inputs'!$E$20,""),"")</f>
        <v/>
      </c>
      <c r="M51" s="73" t="str">
        <f ca="1">IF('TCO Calculator Inputs'!$E$68=3,IF(CELL("type",M$27)="v",PMT('TCO Calculator Inputs'!$E$69,'TCO Calculator Inputs'!$E$19,('TCO Calculator Inputs'!$E$49-'TCO Calculator Inputs'!$E$50)*(1-'TCO Calculator Inputs'!$E$70),0,0)*'TCO Calculator Inputs'!$E$20,""),"")</f>
        <v/>
      </c>
      <c r="N51" s="73" t="str">
        <f ca="1">IF('TCO Calculator Inputs'!$E$68=3,IF(CELL("type",N$27)="v",PMT('TCO Calculator Inputs'!$E$69,'TCO Calculator Inputs'!$E$19,('TCO Calculator Inputs'!$E$49-'TCO Calculator Inputs'!$E$50)*(1-'TCO Calculator Inputs'!$E$70),0,0)*'TCO Calculator Inputs'!$E$20,""),"")</f>
        <v/>
      </c>
      <c r="O51" s="73" t="str">
        <f ca="1">IF('TCO Calculator Inputs'!$E$68=3,IF(CELL("type",O$27)="v",PMT('TCO Calculator Inputs'!$E$69,'TCO Calculator Inputs'!$E$19,('TCO Calculator Inputs'!$E$49-'TCO Calculator Inputs'!$E$50)*(1-'TCO Calculator Inputs'!$E$70),0,0)*'TCO Calculator Inputs'!$E$20,""),"")</f>
        <v/>
      </c>
      <c r="P51" s="73" t="str">
        <f ca="1">IF('TCO Calculator Inputs'!$E$68=3,IF(CELL("type",P$27)="v",PMT('TCO Calculator Inputs'!$E$69,'TCO Calculator Inputs'!$E$19,('TCO Calculator Inputs'!$E$49-'TCO Calculator Inputs'!$E$50)*(1-'TCO Calculator Inputs'!$E$70),0,0)*'TCO Calculator Inputs'!$E$20,""),"")</f>
        <v/>
      </c>
      <c r="Q51" s="73" t="str">
        <f ca="1">IF('TCO Calculator Inputs'!$E$68=3,IF(CELL("type",Q$27)="v",PMT('TCO Calculator Inputs'!$E$69,'TCO Calculator Inputs'!$E$19,('TCO Calculator Inputs'!$E$49-'TCO Calculator Inputs'!$E$50)*(1-'TCO Calculator Inputs'!$E$70),0,0)*'TCO Calculator Inputs'!$E$20,""),"")</f>
        <v/>
      </c>
      <c r="R51" s="73" t="str">
        <f ca="1">IF('TCO Calculator Inputs'!$E$68=3,IF(CELL("type",R$27)="v",PMT('TCO Calculator Inputs'!$E$69,'TCO Calculator Inputs'!$E$19,('TCO Calculator Inputs'!$E$49-'TCO Calculator Inputs'!$E$50)*(1-'TCO Calculator Inputs'!$E$70),0,0)*'TCO Calculator Inputs'!$E$20,""),"")</f>
        <v/>
      </c>
      <c r="S51" s="73" t="str">
        <f ca="1">IF('TCO Calculator Inputs'!$E$68=3,IF(CELL("type",S$27)="v",PMT('TCO Calculator Inputs'!$E$69,'TCO Calculator Inputs'!$E$19,('TCO Calculator Inputs'!$E$49-'TCO Calculator Inputs'!$E$50)*(1-'TCO Calculator Inputs'!$E$70),0,0)*'TCO Calculator Inputs'!$E$20,""),"")</f>
        <v/>
      </c>
      <c r="T51" s="73" t="str">
        <f ca="1">IF('TCO Calculator Inputs'!$E$68=3,IF(CELL("type",T$27)="v",PMT('TCO Calculator Inputs'!$E$69,'TCO Calculator Inputs'!$E$19,('TCO Calculator Inputs'!$E$49-'TCO Calculator Inputs'!$E$50)*(1-'TCO Calculator Inputs'!$E$70),0,0)*'TCO Calculator Inputs'!$E$20,""),"")</f>
        <v/>
      </c>
      <c r="U51" s="73" t="str">
        <f ca="1">IF('TCO Calculator Inputs'!$E$68=3,IF(CELL("type",U$27)="v",PMT('TCO Calculator Inputs'!$E$69,'TCO Calculator Inputs'!$E$19,('TCO Calculator Inputs'!$E$49-'TCO Calculator Inputs'!$E$50)*(1-'TCO Calculator Inputs'!$E$70),0,0)*'TCO Calculator Inputs'!$E$20,""),"")</f>
        <v/>
      </c>
      <c r="V51" s="73" t="str">
        <f ca="1">IF('TCO Calculator Inputs'!$E$68=3,IF(CELL("type",V$27)="v",PMT('TCO Calculator Inputs'!$E$69,'TCO Calculator Inputs'!$E$19,('TCO Calculator Inputs'!$E$49-'TCO Calculator Inputs'!$E$50)*(1-'TCO Calculator Inputs'!$E$70),0,0)*'TCO Calculator Inputs'!$E$20,""),"")</f>
        <v/>
      </c>
      <c r="W51" s="73" t="str">
        <f ca="1">IF('TCO Calculator Inputs'!$E$68=3,IF(CELL("type",W$27)="v",PMT('TCO Calculator Inputs'!$E$69,'TCO Calculator Inputs'!$E$19,('TCO Calculator Inputs'!$E$49-'TCO Calculator Inputs'!$E$50)*(1-'TCO Calculator Inputs'!$E$70),0,0)*'TCO Calculator Inputs'!$E$20,""),"")</f>
        <v/>
      </c>
      <c r="X51" s="73" t="str">
        <f ca="1">IF('TCO Calculator Inputs'!$E$68=3,IF(CELL("type",X$27)="v",PMT('TCO Calculator Inputs'!$E$69,'TCO Calculator Inputs'!$E$19,('TCO Calculator Inputs'!$E$49-'TCO Calculator Inputs'!$E$50)*(1-'TCO Calculator Inputs'!$E$70),0,0)*'TCO Calculator Inputs'!$E$20,""),"")</f>
        <v/>
      </c>
      <c r="Y51" s="73" t="str">
        <f ca="1">IF('TCO Calculator Inputs'!$E$68=3,IF(CELL("type",Y$27)="v",PMT('TCO Calculator Inputs'!$E$69,'TCO Calculator Inputs'!$E$19,('TCO Calculator Inputs'!$E$49-'TCO Calculator Inputs'!$E$50)*(1-'TCO Calculator Inputs'!$E$70),0,0)*'TCO Calculator Inputs'!$E$20,""),"")</f>
        <v/>
      </c>
      <c r="Z51" s="73" t="str">
        <f ca="1">IF('TCO Calculator Inputs'!$E$68=3,IF(CELL("type",Z$27)="v",PMT('TCO Calculator Inputs'!$E$69,'TCO Calculator Inputs'!$E$19,('TCO Calculator Inputs'!$E$49-'TCO Calculator Inputs'!$E$50)*(1-'TCO Calculator Inputs'!$E$70),0,0)*'TCO Calculator Inputs'!$E$20,""),"")</f>
        <v/>
      </c>
      <c r="AA51" s="73" t="str">
        <f ca="1">IF('TCO Calculator Inputs'!$E$68=3,IF(CELL("type",AA$27)="v",PMT('TCO Calculator Inputs'!$E$69,'TCO Calculator Inputs'!$E$19,('TCO Calculator Inputs'!$E$49-'TCO Calculator Inputs'!$E$50)*(1-'TCO Calculator Inputs'!$E$70),0,0)*'TCO Calculator Inputs'!$E$20,""),"")</f>
        <v/>
      </c>
      <c r="AB51" s="73" t="str">
        <f ca="1">IF('TCO Calculator Inputs'!$E$68=3,IF(CELL("type",AB$27)="v",PMT('TCO Calculator Inputs'!$E$69,'TCO Calculator Inputs'!$E$19,('TCO Calculator Inputs'!$E$49-'TCO Calculator Inputs'!$E$50)*(1-'TCO Calculator Inputs'!$E$70),0,0)*'TCO Calculator Inputs'!$E$20,""),"")</f>
        <v/>
      </c>
      <c r="AC51" s="73" t="str">
        <f ca="1">IF('TCO Calculator Inputs'!$E$68=3,IF(CELL("type",AC$27)="v",PMT('TCO Calculator Inputs'!$E$69,'TCO Calculator Inputs'!$E$19,('TCO Calculator Inputs'!$E$49-'TCO Calculator Inputs'!$E$50)*(1-'TCO Calculator Inputs'!$E$70),0,0)*'TCO Calculator Inputs'!$E$20,""),"")</f>
        <v/>
      </c>
      <c r="AD51" s="73" t="str">
        <f ca="1">IF('TCO Calculator Inputs'!$E$68=3,IF(CELL("type",AD$27)="v",PMT('TCO Calculator Inputs'!$E$69,'TCO Calculator Inputs'!$E$19,('TCO Calculator Inputs'!$E$49-'TCO Calculator Inputs'!$E$50)*(1-'TCO Calculator Inputs'!$E$70),0,0)*'TCO Calculator Inputs'!$E$20,""),"")</f>
        <v/>
      </c>
      <c r="AE51" s="73" t="str">
        <f ca="1">IF('TCO Calculator Inputs'!$E$68=3,IF(CELL("type",AE$27)="v",PMT('TCO Calculator Inputs'!$E$69,'TCO Calculator Inputs'!$E$19,('TCO Calculator Inputs'!$E$49-'TCO Calculator Inputs'!$E$50)*(1-'TCO Calculator Inputs'!$E$70),0,0)*'TCO Calculator Inputs'!$E$20,""),"")</f>
        <v/>
      </c>
      <c r="AF51" s="73" t="str">
        <f ca="1">IF('TCO Calculator Inputs'!$E$68=3,IF(CELL("type",AF$27)="v",PMT('TCO Calculator Inputs'!$E$69,'TCO Calculator Inputs'!$E$19,('TCO Calculator Inputs'!$E$49-'TCO Calculator Inputs'!$E$50)*(1-'TCO Calculator Inputs'!$E$70),0,0)*'TCO Calculator Inputs'!$E$20,""),"")</f>
        <v/>
      </c>
      <c r="AG51" s="73" t="str">
        <f ca="1">IF('TCO Calculator Inputs'!$E$68=3,IF(CELL("type",AG$27)="v",PMT('TCO Calculator Inputs'!$E$69,'TCO Calculator Inputs'!$E$19,('TCO Calculator Inputs'!$E$49-'TCO Calculator Inputs'!$E$50)*(1-'TCO Calculator Inputs'!$E$70),0,0)*'TCO Calculator Inputs'!$E$20,""),"")</f>
        <v/>
      </c>
    </row>
    <row r="52" spans="2:33" ht="25.5" x14ac:dyDescent="0.5">
      <c r="C52" s="65"/>
      <c r="D52" s="111"/>
    </row>
    <row r="53" spans="2:33" x14ac:dyDescent="0.25">
      <c r="C53" s="65"/>
    </row>
    <row r="54" spans="2:33" x14ac:dyDescent="0.25">
      <c r="C54" s="65"/>
    </row>
    <row r="55" spans="2:33" x14ac:dyDescent="0.25">
      <c r="C55" s="65"/>
    </row>
    <row r="56" spans="2:33" x14ac:dyDescent="0.25">
      <c r="C56" s="65"/>
    </row>
    <row r="57" spans="2:33" x14ac:dyDescent="0.25">
      <c r="C57" s="65"/>
    </row>
    <row r="58" spans="2:33" x14ac:dyDescent="0.25">
      <c r="C58" s="65"/>
    </row>
    <row r="59" spans="2:33" x14ac:dyDescent="0.25">
      <c r="C59" s="65"/>
    </row>
    <row r="60" spans="2:33" x14ac:dyDescent="0.25">
      <c r="C60" s="65"/>
    </row>
    <row r="61" spans="2:33" x14ac:dyDescent="0.25">
      <c r="C61" s="65"/>
    </row>
    <row r="62" spans="2:33" x14ac:dyDescent="0.25">
      <c r="C62" s="65"/>
    </row>
    <row r="63" spans="2:33" x14ac:dyDescent="0.25">
      <c r="C63" s="65"/>
    </row>
    <row r="64" spans="2:33" x14ac:dyDescent="0.25">
      <c r="C64" s="65"/>
    </row>
    <row r="65" spans="3:3" x14ac:dyDescent="0.25">
      <c r="C65" s="65"/>
    </row>
    <row r="66" spans="3:3" x14ac:dyDescent="0.25">
      <c r="C66" s="65"/>
    </row>
    <row r="67" spans="3:3" x14ac:dyDescent="0.25">
      <c r="C67" s="65"/>
    </row>
    <row r="68" spans="3:3" x14ac:dyDescent="0.25">
      <c r="C68" s="65"/>
    </row>
    <row r="69" spans="3:3" x14ac:dyDescent="0.25">
      <c r="C69" s="65"/>
    </row>
    <row r="70" spans="3:3" x14ac:dyDescent="0.25">
      <c r="C70" s="65"/>
    </row>
    <row r="71" spans="3:3" x14ac:dyDescent="0.25">
      <c r="C71" s="65"/>
    </row>
    <row r="72" spans="3:3" x14ac:dyDescent="0.25">
      <c r="C72" s="65"/>
    </row>
    <row r="73" spans="3:3" x14ac:dyDescent="0.25">
      <c r="C73" s="65"/>
    </row>
    <row r="74" spans="3:3" x14ac:dyDescent="0.25">
      <c r="C74" s="65"/>
    </row>
    <row r="75" spans="3:3" x14ac:dyDescent="0.25">
      <c r="C75" s="65"/>
    </row>
    <row r="76" spans="3:3" x14ac:dyDescent="0.25">
      <c r="C76" s="65" t="str">
        <f ca="1">IF(CELL("type",C75)="v",IF(('TCO Calculator Inputs'!$E$19-C75)&gt;0,C75+1,""),"")</f>
        <v/>
      </c>
    </row>
    <row r="77" spans="3:3" x14ac:dyDescent="0.25">
      <c r="C77" s="65" t="str">
        <f ca="1">IF(CELL("type",C76)="v",IF(('TCO Calculator Inputs'!$E$19-C76)&gt;0,C76+1,""),"")</f>
        <v/>
      </c>
    </row>
    <row r="78" spans="3:3" x14ac:dyDescent="0.25">
      <c r="C78" s="65" t="str">
        <f ca="1">IF(CELL("type",C77)="v",IF(('TCO Calculator Inputs'!$E$19-C77)&gt;0,C77+1,""),"")</f>
        <v/>
      </c>
    </row>
  </sheetData>
  <sheetProtection algorithmName="SHA-512" hashValue="u1389uKYr5YvJ1xvminJ4cR5Or222nugnUJl3wHqjmKCGD8lWKeW7BTH4Mv5kihNW8aR+dJGW8up775N7KL5zw==" saltValue="PuDdKGtPGmyWJ7g1NaZaEQ==" spinCount="100000" sheet="1" objects="1" scenarios="1"/>
  <mergeCells count="1">
    <mergeCell ref="B2:R2"/>
  </mergeCells>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R23"/>
  <sheetViews>
    <sheetView zoomScale="62" zoomScaleNormal="62" workbookViewId="0">
      <selection activeCell="C3" sqref="C3"/>
    </sheetView>
  </sheetViews>
  <sheetFormatPr defaultRowHeight="15" x14ac:dyDescent="0.25"/>
  <cols>
    <col min="1" max="1" width="2.140625" customWidth="1"/>
    <col min="3" max="3" width="59.42578125" customWidth="1"/>
    <col min="4" max="17" width="16.7109375" customWidth="1"/>
    <col min="18" max="18" width="33.140625" customWidth="1"/>
  </cols>
  <sheetData>
    <row r="1" spans="2:18" ht="9" customHeight="1" thickBot="1" x14ac:dyDescent="0.3"/>
    <row r="2" spans="2:18" ht="115.5" customHeight="1" thickBot="1" x14ac:dyDescent="0.3">
      <c r="B2" s="126" t="s">
        <v>17</v>
      </c>
      <c r="C2" s="127"/>
      <c r="D2" s="127"/>
      <c r="E2" s="127"/>
      <c r="F2" s="127"/>
      <c r="G2" s="127"/>
      <c r="H2" s="127"/>
      <c r="I2" s="127"/>
      <c r="J2" s="127"/>
      <c r="K2" s="127"/>
      <c r="L2" s="127"/>
      <c r="M2" s="127"/>
      <c r="N2" s="127"/>
      <c r="O2" s="128"/>
    </row>
    <row r="3" spans="2:18" ht="30" x14ac:dyDescent="0.25">
      <c r="C3" s="124" t="str">
        <f>'User Guide'!B3</f>
        <v>Version 042119Q replaces Version 032919P as of 4/21/2019 
 - See Change History at bottom of User Guide</v>
      </c>
    </row>
    <row r="4" spans="2:18" x14ac:dyDescent="0.25">
      <c r="C4" t="s">
        <v>192</v>
      </c>
    </row>
    <row r="6" spans="2:18" ht="28.5" x14ac:dyDescent="0.25">
      <c r="D6" s="137" t="s">
        <v>75</v>
      </c>
      <c r="E6" s="137"/>
      <c r="F6" s="137"/>
      <c r="G6" s="137"/>
      <c r="H6" s="137"/>
      <c r="I6" s="137"/>
      <c r="J6" s="137"/>
      <c r="K6" s="137"/>
      <c r="L6" s="137"/>
      <c r="M6" s="137"/>
      <c r="N6" s="137"/>
      <c r="O6" s="137"/>
      <c r="P6" s="137"/>
      <c r="Q6" s="137"/>
    </row>
    <row r="7" spans="2:18" ht="86.25" x14ac:dyDescent="0.25">
      <c r="C7" s="40" t="s">
        <v>87</v>
      </c>
      <c r="D7" s="25" t="s">
        <v>58</v>
      </c>
      <c r="E7" s="26" t="s">
        <v>59</v>
      </c>
      <c r="F7" s="25" t="s">
        <v>60</v>
      </c>
      <c r="G7" s="27" t="s">
        <v>61</v>
      </c>
      <c r="H7" s="25" t="s">
        <v>62</v>
      </c>
      <c r="I7" s="27" t="s">
        <v>63</v>
      </c>
      <c r="J7" s="25" t="s">
        <v>64</v>
      </c>
      <c r="K7" s="27" t="s">
        <v>65</v>
      </c>
      <c r="L7" s="25" t="s">
        <v>66</v>
      </c>
      <c r="M7" s="27" t="s">
        <v>67</v>
      </c>
      <c r="N7" s="25" t="s">
        <v>68</v>
      </c>
      <c r="O7" s="27" t="s">
        <v>69</v>
      </c>
      <c r="P7" s="25" t="s">
        <v>70</v>
      </c>
      <c r="Q7" s="27" t="s">
        <v>71</v>
      </c>
    </row>
    <row r="8" spans="2:18" ht="46.5" x14ac:dyDescent="0.25">
      <c r="B8" s="29">
        <v>1</v>
      </c>
      <c r="C8" s="30" t="s">
        <v>54</v>
      </c>
      <c r="D8" s="15">
        <v>37</v>
      </c>
      <c r="E8" s="16">
        <v>9620</v>
      </c>
      <c r="F8" s="15">
        <v>79</v>
      </c>
      <c r="G8" s="17">
        <v>1.1200000000000001</v>
      </c>
      <c r="H8" s="18">
        <v>2.14</v>
      </c>
      <c r="I8" s="17">
        <v>1.6</v>
      </c>
      <c r="J8" s="18">
        <v>3.29</v>
      </c>
      <c r="K8" s="19">
        <v>33.19</v>
      </c>
      <c r="L8" s="15">
        <v>70.34</v>
      </c>
      <c r="M8" s="17">
        <v>22.84</v>
      </c>
      <c r="N8" s="20">
        <v>0.97</v>
      </c>
      <c r="O8" s="21">
        <v>3.03</v>
      </c>
      <c r="P8" s="20">
        <v>30.26</v>
      </c>
      <c r="Q8" s="22">
        <v>49</v>
      </c>
    </row>
    <row r="9" spans="2:18" ht="23.25" x14ac:dyDescent="0.25">
      <c r="B9" s="29">
        <v>2</v>
      </c>
      <c r="C9" s="30" t="s">
        <v>1</v>
      </c>
      <c r="D9" s="15">
        <v>51.81</v>
      </c>
      <c r="E9" s="16">
        <v>13470.6</v>
      </c>
      <c r="F9" s="15">
        <v>131.91999999999999</v>
      </c>
      <c r="G9" s="17">
        <v>2.75</v>
      </c>
      <c r="H9" s="18">
        <v>4.5599999999999996</v>
      </c>
      <c r="I9" s="17">
        <v>6.73</v>
      </c>
      <c r="J9" s="18">
        <v>11.38</v>
      </c>
      <c r="K9" s="19">
        <v>19.170000000000002</v>
      </c>
      <c r="L9" s="15">
        <v>70.84</v>
      </c>
      <c r="M9" s="17">
        <v>8.3000000000000007</v>
      </c>
      <c r="N9" s="20">
        <v>4.04</v>
      </c>
      <c r="O9" s="21">
        <v>6.87</v>
      </c>
      <c r="P9" s="20">
        <v>181.83</v>
      </c>
      <c r="Q9" s="22">
        <v>284</v>
      </c>
    </row>
    <row r="10" spans="2:18" ht="23.25" x14ac:dyDescent="0.25">
      <c r="B10" s="29">
        <v>3</v>
      </c>
      <c r="C10" s="30" t="s">
        <v>2</v>
      </c>
      <c r="D10" s="15">
        <v>45.81</v>
      </c>
      <c r="E10" s="16">
        <v>11910.6</v>
      </c>
      <c r="F10" s="15">
        <v>231.84</v>
      </c>
      <c r="G10" s="17">
        <v>2.1800000000000002</v>
      </c>
      <c r="H10" s="18">
        <v>6.17</v>
      </c>
      <c r="I10" s="17">
        <v>5.5</v>
      </c>
      <c r="J10" s="18">
        <v>8.7799999999999994</v>
      </c>
      <c r="K10" s="19">
        <v>20.190000000000001</v>
      </c>
      <c r="L10" s="15">
        <v>80.67</v>
      </c>
      <c r="M10" s="17">
        <v>10.92</v>
      </c>
      <c r="N10" s="20">
        <v>3.11</v>
      </c>
      <c r="O10" s="21">
        <v>6.45</v>
      </c>
      <c r="P10" s="20">
        <v>147.53</v>
      </c>
      <c r="Q10" s="22">
        <v>242</v>
      </c>
    </row>
    <row r="11" spans="2:18" ht="23.25" x14ac:dyDescent="0.25">
      <c r="B11" s="29">
        <v>4</v>
      </c>
      <c r="C11" s="30" t="s">
        <v>3</v>
      </c>
      <c r="D11" s="15">
        <v>66</v>
      </c>
      <c r="E11" s="16">
        <v>17160</v>
      </c>
      <c r="F11" s="15">
        <v>141</v>
      </c>
      <c r="G11" s="17">
        <v>2.42</v>
      </c>
      <c r="H11" s="18">
        <v>4.21</v>
      </c>
      <c r="I11" s="17">
        <v>6.18</v>
      </c>
      <c r="J11" s="18">
        <v>12.63</v>
      </c>
      <c r="K11" s="19">
        <v>27.18</v>
      </c>
      <c r="L11" s="15">
        <v>69.900000000000006</v>
      </c>
      <c r="M11" s="17">
        <v>11.87</v>
      </c>
      <c r="N11" s="20">
        <v>1.56</v>
      </c>
      <c r="O11" s="21">
        <v>3.02</v>
      </c>
      <c r="P11" s="20">
        <v>97.72</v>
      </c>
      <c r="Q11" s="22">
        <v>183</v>
      </c>
    </row>
    <row r="12" spans="2:18" ht="46.5" x14ac:dyDescent="0.25">
      <c r="B12" s="29">
        <v>5</v>
      </c>
      <c r="C12" s="30" t="s">
        <v>55</v>
      </c>
      <c r="D12" s="15">
        <v>40</v>
      </c>
      <c r="E12" s="16">
        <v>10400</v>
      </c>
      <c r="F12" s="15">
        <v>81</v>
      </c>
      <c r="G12" s="17">
        <v>1.18</v>
      </c>
      <c r="H12" s="18">
        <v>2.0499999999999998</v>
      </c>
      <c r="I12" s="17">
        <v>2.98</v>
      </c>
      <c r="J12" s="18">
        <v>18.16</v>
      </c>
      <c r="K12" s="19">
        <v>33.520000000000003</v>
      </c>
      <c r="L12" s="15">
        <v>70.66</v>
      </c>
      <c r="M12" s="17">
        <v>18.23</v>
      </c>
      <c r="N12" s="20">
        <v>0.92</v>
      </c>
      <c r="O12" s="21">
        <v>3.04</v>
      </c>
      <c r="P12" s="20">
        <v>30.46</v>
      </c>
      <c r="Q12" s="22">
        <v>65</v>
      </c>
    </row>
    <row r="13" spans="2:18" ht="23.25" x14ac:dyDescent="0.25">
      <c r="B13" s="29">
        <v>6</v>
      </c>
      <c r="C13" s="30" t="s">
        <v>56</v>
      </c>
      <c r="D13" s="15">
        <v>36.17</v>
      </c>
      <c r="E13" s="16">
        <v>9404.2000000000007</v>
      </c>
      <c r="F13" s="15">
        <v>88.28</v>
      </c>
      <c r="G13" s="17">
        <v>2.0299999999999998</v>
      </c>
      <c r="H13" s="18">
        <v>4.16</v>
      </c>
      <c r="I13" s="17">
        <v>3.48</v>
      </c>
      <c r="J13" s="18">
        <v>8.4</v>
      </c>
      <c r="K13" s="19">
        <v>15.62</v>
      </c>
      <c r="L13" s="15">
        <v>69.98</v>
      </c>
      <c r="M13" s="17">
        <v>8.91</v>
      </c>
      <c r="N13" s="20">
        <v>6.33</v>
      </c>
      <c r="O13" s="21">
        <v>16.75</v>
      </c>
      <c r="P13" s="20">
        <v>147</v>
      </c>
      <c r="Q13" s="22">
        <v>277</v>
      </c>
    </row>
    <row r="14" spans="2:18" ht="23.25" x14ac:dyDescent="0.25">
      <c r="B14" s="29">
        <v>7</v>
      </c>
      <c r="C14" s="30" t="s">
        <v>6</v>
      </c>
      <c r="D14" s="15">
        <v>63.41</v>
      </c>
      <c r="E14" s="16">
        <v>16486.599999999999</v>
      </c>
      <c r="F14" s="15">
        <v>200.89</v>
      </c>
      <c r="G14" s="17">
        <v>2.0699999999999998</v>
      </c>
      <c r="H14" s="18">
        <v>4.92</v>
      </c>
      <c r="I14" s="17">
        <v>4.82</v>
      </c>
      <c r="J14" s="18">
        <v>12.14</v>
      </c>
      <c r="K14" s="19">
        <v>30.35</v>
      </c>
      <c r="L14" s="15">
        <v>74.75</v>
      </c>
      <c r="M14" s="17">
        <v>14.39</v>
      </c>
      <c r="N14" s="20">
        <v>1.22</v>
      </c>
      <c r="O14" s="21">
        <v>3.37</v>
      </c>
      <c r="P14" s="20">
        <v>71.38</v>
      </c>
      <c r="Q14" s="22">
        <v>216</v>
      </c>
    </row>
    <row r="15" spans="2:18" ht="23.25" x14ac:dyDescent="0.25">
      <c r="B15" s="29">
        <v>8</v>
      </c>
      <c r="C15" s="30" t="s">
        <v>57</v>
      </c>
      <c r="D15" s="15">
        <v>78.2</v>
      </c>
      <c r="E15" s="16">
        <v>20332</v>
      </c>
      <c r="F15" s="15">
        <v>261.67</v>
      </c>
      <c r="G15" s="17">
        <v>2.29</v>
      </c>
      <c r="H15" s="18">
        <v>5.0999999999999996</v>
      </c>
      <c r="I15" s="17">
        <v>4.54</v>
      </c>
      <c r="J15" s="18">
        <v>11.65</v>
      </c>
      <c r="K15" s="19">
        <v>32.56</v>
      </c>
      <c r="L15" s="15">
        <v>67.930000000000007</v>
      </c>
      <c r="M15" s="17">
        <v>17.78</v>
      </c>
      <c r="N15" s="20">
        <v>1.07</v>
      </c>
      <c r="O15" s="21">
        <v>2.65</v>
      </c>
      <c r="P15" s="20">
        <v>68.400000000000006</v>
      </c>
      <c r="Q15" s="22">
        <v>145</v>
      </c>
    </row>
    <row r="16" spans="2:18" ht="23.25" x14ac:dyDescent="0.25">
      <c r="B16" s="29">
        <v>9</v>
      </c>
      <c r="C16" s="92" t="s">
        <v>155</v>
      </c>
      <c r="D16" s="116"/>
      <c r="E16" s="117"/>
      <c r="F16" s="116"/>
      <c r="G16" s="94"/>
      <c r="H16" s="95"/>
      <c r="I16" s="94"/>
      <c r="J16" s="95"/>
      <c r="K16" s="96"/>
      <c r="L16" s="93"/>
      <c r="M16" s="94"/>
      <c r="N16" s="97"/>
      <c r="O16" s="98"/>
      <c r="P16" s="97"/>
      <c r="Q16" s="99"/>
      <c r="R16" t="s">
        <v>160</v>
      </c>
    </row>
    <row r="17" spans="2:18" ht="23.25" x14ac:dyDescent="0.25">
      <c r="B17" s="29">
        <v>10</v>
      </c>
      <c r="C17" s="92" t="s">
        <v>156</v>
      </c>
      <c r="D17" s="116"/>
      <c r="E17" s="117"/>
      <c r="F17" s="116"/>
      <c r="G17" s="94"/>
      <c r="H17" s="95"/>
      <c r="I17" s="94"/>
      <c r="J17" s="95"/>
      <c r="K17" s="96"/>
      <c r="L17" s="93"/>
      <c r="M17" s="94"/>
      <c r="N17" s="97"/>
      <c r="O17" s="98"/>
      <c r="P17" s="97"/>
      <c r="Q17" s="99"/>
      <c r="R17" t="s">
        <v>160</v>
      </c>
    </row>
    <row r="18" spans="2:18" ht="23.25" x14ac:dyDescent="0.25">
      <c r="B18" s="29">
        <v>11</v>
      </c>
      <c r="C18" s="92" t="s">
        <v>157</v>
      </c>
      <c r="D18" s="116"/>
      <c r="E18" s="117"/>
      <c r="F18" s="116"/>
      <c r="G18" s="94"/>
      <c r="H18" s="95"/>
      <c r="I18" s="94"/>
      <c r="J18" s="95"/>
      <c r="K18" s="96"/>
      <c r="L18" s="93"/>
      <c r="M18" s="94"/>
      <c r="N18" s="97"/>
      <c r="O18" s="98"/>
      <c r="P18" s="97"/>
      <c r="Q18" s="99"/>
      <c r="R18" t="s">
        <v>160</v>
      </c>
    </row>
    <row r="19" spans="2:18" ht="23.25" x14ac:dyDescent="0.25">
      <c r="B19" s="29">
        <v>12</v>
      </c>
      <c r="C19" s="92" t="s">
        <v>158</v>
      </c>
      <c r="D19" s="116"/>
      <c r="E19" s="117"/>
      <c r="F19" s="116"/>
      <c r="G19" s="94"/>
      <c r="H19" s="95"/>
      <c r="I19" s="94"/>
      <c r="J19" s="95"/>
      <c r="K19" s="96"/>
      <c r="L19" s="93"/>
      <c r="M19" s="94"/>
      <c r="N19" s="97"/>
      <c r="O19" s="98"/>
      <c r="P19" s="97"/>
      <c r="Q19" s="99"/>
      <c r="R19" t="s">
        <v>160</v>
      </c>
    </row>
    <row r="20" spans="2:18" ht="23.25" x14ac:dyDescent="0.25">
      <c r="B20" s="29">
        <v>13</v>
      </c>
      <c r="C20" s="92" t="s">
        <v>159</v>
      </c>
      <c r="D20" s="116"/>
      <c r="E20" s="117"/>
      <c r="F20" s="116"/>
      <c r="G20" s="94"/>
      <c r="H20" s="95"/>
      <c r="I20" s="94"/>
      <c r="J20" s="95"/>
      <c r="K20" s="96"/>
      <c r="L20" s="93"/>
      <c r="M20" s="94"/>
      <c r="N20" s="97"/>
      <c r="O20" s="98"/>
      <c r="P20" s="97"/>
      <c r="Q20" s="99"/>
      <c r="R20" t="s">
        <v>160</v>
      </c>
    </row>
    <row r="21" spans="2:18" x14ac:dyDescent="0.25">
      <c r="B21" s="91"/>
      <c r="D21" s="139" t="s">
        <v>187</v>
      </c>
      <c r="E21" s="139"/>
      <c r="F21" s="139"/>
      <c r="G21" s="138" t="s">
        <v>188</v>
      </c>
      <c r="H21" s="138"/>
      <c r="I21" s="138"/>
      <c r="J21" s="138"/>
      <c r="K21" s="138"/>
      <c r="L21" s="138"/>
      <c r="M21" s="138"/>
      <c r="N21" s="138"/>
      <c r="O21" s="138"/>
      <c r="P21" s="138"/>
      <c r="Q21" s="138"/>
    </row>
    <row r="22" spans="2:18" ht="36.75" customHeight="1" x14ac:dyDescent="0.25">
      <c r="C22" s="4"/>
      <c r="D22" s="139"/>
      <c r="E22" s="139"/>
      <c r="F22" s="139"/>
      <c r="G22" s="138"/>
      <c r="H22" s="138"/>
      <c r="I22" s="138"/>
      <c r="J22" s="138"/>
      <c r="K22" s="138"/>
      <c r="L22" s="138"/>
      <c r="M22" s="138"/>
      <c r="N22" s="138"/>
      <c r="O22" s="138"/>
      <c r="P22" s="138"/>
      <c r="Q22" s="138"/>
    </row>
    <row r="23" spans="2:18" ht="76.5" customHeight="1" x14ac:dyDescent="0.25">
      <c r="C23" s="118" t="s">
        <v>72</v>
      </c>
      <c r="P23" s="140" t="s">
        <v>73</v>
      </c>
      <c r="Q23" s="140"/>
    </row>
  </sheetData>
  <sheetProtection algorithmName="SHA-512" hashValue="NznFHDVHmBWbT4bmcD20hvUM7ezmPqM502GLddoQzG4i4TuZHiAx4MSo+bp6gNKAV28UZIRKq/QrQv9pH+5paQ==" saltValue="ybir9uPUNuXWsliWtAi6/g==" spinCount="100000" sheet="1" objects="1" scenarios="1"/>
  <mergeCells count="5">
    <mergeCell ref="D6:Q6"/>
    <mergeCell ref="B2:O2"/>
    <mergeCell ref="G21:Q22"/>
    <mergeCell ref="D21:F22"/>
    <mergeCell ref="P23:Q23"/>
  </mergeCells>
  <dataValidations xWindow="556" yWindow="421" count="5">
    <dataValidation type="whole" allowBlank="1" showInputMessage="1" showErrorMessage="1" errorTitle="Ave Miles/Day Error" error="Key number between 1 and 1000" promptTitle="Average Miles per Day" prompt="Enter average miles per day, a whole number between 0 and 1000" sqref="D16:D20">
      <formula1>0</formula1>
      <formula2>1000</formula2>
    </dataValidation>
    <dataValidation type="whole" allowBlank="1" showInputMessage="1" showErrorMessage="1" errorTitle="Ave Miles/Year Error" error="Key  number between 1 and 500,000." promptTitle="Average Miles per Year" prompt="Enter average miles per year, or multiply average daily miles by 250 (5 days per week, 50 weeks per year operation for truck equally 96% uptime)._x000a_" sqref="E16:E20">
      <formula1>1</formula1>
      <formula2>500000</formula2>
    </dataValidation>
    <dataValidation type="whole" allowBlank="1" showInputMessage="1" showErrorMessage="1" errorTitle="Max miles/day error" error="Key in a number between 1 and 1,000." promptTitle="Max miles per day" prompt="Enter the maximum number of miles per day.  This number should be more than the average miles per day.  " sqref="F16:F20">
      <formula1>1</formula1>
      <formula2>1000</formula2>
    </dataValidation>
    <dataValidation type="decimal" allowBlank="1" showInputMessage="1" showErrorMessage="1" errorTitle="Additional Duty Cycle Error" error="Key in a number between 0 and 1000" promptTitle="Related Duty Cycle Data" prompt="Users may key in this data for reference, but it is not currently used by the TCO calculator." sqref="G16:Q20">
      <formula1>0</formula1>
      <formula2>1000</formula2>
    </dataValidation>
    <dataValidation type="textLength" allowBlank="1" showInputMessage="1" showErrorMessage="1" errorTitle="User Duty Cycle Name Error" error="Key in text description under 30 characters in length." promptTitle="User Duty Cycle Description" prompt="Enter a name for your user Duty Cycle." sqref="R16:R20">
      <formula1>0</formula1>
      <formula2>30</formula2>
    </dataValidation>
  </dataValidations>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58"/>
  <sheetViews>
    <sheetView workbookViewId="0">
      <selection activeCell="B2" sqref="B2"/>
    </sheetView>
  </sheetViews>
  <sheetFormatPr defaultRowHeight="15" x14ac:dyDescent="0.25"/>
  <cols>
    <col min="1" max="1" width="1.5703125" customWidth="1"/>
    <col min="2" max="2" width="45.5703125" customWidth="1"/>
    <col min="3" max="3" width="11.28515625" customWidth="1"/>
  </cols>
  <sheetData>
    <row r="1" spans="2:15" ht="112.5" customHeight="1" thickBot="1" x14ac:dyDescent="0.3">
      <c r="B1" s="126" t="s">
        <v>17</v>
      </c>
      <c r="C1" s="127"/>
      <c r="D1" s="127"/>
      <c r="E1" s="127"/>
      <c r="F1" s="127"/>
      <c r="G1" s="127"/>
      <c r="H1" s="127"/>
      <c r="I1" s="127"/>
      <c r="J1" s="127"/>
      <c r="K1" s="127"/>
      <c r="L1" s="127"/>
      <c r="M1" s="127"/>
      <c r="N1" s="127"/>
      <c r="O1" s="128"/>
    </row>
    <row r="2" spans="2:15" ht="45" x14ac:dyDescent="0.25">
      <c r="B2" s="124" t="str">
        <f>'User Guide'!B3</f>
        <v>Version 042119Q replaces Version 032919P as of 4/21/2019 
 - See Change History at bottom of User Guide</v>
      </c>
    </row>
    <row r="4" spans="2:15" ht="15.75" thickBot="1" x14ac:dyDescent="0.3"/>
    <row r="5" spans="2:15" ht="16.5" thickBot="1" x14ac:dyDescent="0.3">
      <c r="B5" s="11" t="s">
        <v>12</v>
      </c>
      <c r="C5" s="3"/>
    </row>
    <row r="6" spans="2:15" x14ac:dyDescent="0.25">
      <c r="B6" s="9" t="s">
        <v>8</v>
      </c>
      <c r="C6" s="7">
        <v>1</v>
      </c>
    </row>
    <row r="7" spans="2:15" ht="15.75" thickBot="1" x14ac:dyDescent="0.3">
      <c r="B7" s="10" t="s">
        <v>9</v>
      </c>
      <c r="C7" s="8">
        <v>2</v>
      </c>
    </row>
    <row r="8" spans="2:15" ht="15.75" thickBot="1" x14ac:dyDescent="0.3">
      <c r="B8" s="4"/>
      <c r="C8" s="5"/>
    </row>
    <row r="9" spans="2:15" ht="16.5" thickBot="1" x14ac:dyDescent="0.3">
      <c r="B9" s="11" t="s">
        <v>13</v>
      </c>
    </row>
    <row r="10" spans="2:15" ht="15.75" thickBot="1" x14ac:dyDescent="0.3"/>
    <row r="11" spans="2:15" ht="16.5" thickBot="1" x14ac:dyDescent="0.3">
      <c r="B11" s="12" t="s">
        <v>10</v>
      </c>
      <c r="C11" s="100"/>
    </row>
    <row r="12" spans="2:15" x14ac:dyDescent="0.25">
      <c r="B12" s="13" t="s">
        <v>0</v>
      </c>
      <c r="C12" s="7">
        <v>1</v>
      </c>
    </row>
    <row r="13" spans="2:15" x14ac:dyDescent="0.25">
      <c r="B13" s="1" t="s">
        <v>1</v>
      </c>
      <c r="C13" s="14">
        <v>2</v>
      </c>
    </row>
    <row r="14" spans="2:15" x14ac:dyDescent="0.25">
      <c r="B14" s="1" t="s">
        <v>2</v>
      </c>
      <c r="C14" s="14">
        <v>3</v>
      </c>
    </row>
    <row r="15" spans="2:15" x14ac:dyDescent="0.25">
      <c r="B15" s="1" t="s">
        <v>3</v>
      </c>
      <c r="C15" s="14">
        <v>4</v>
      </c>
    </row>
    <row r="16" spans="2:15" x14ac:dyDescent="0.25">
      <c r="B16" s="1" t="s">
        <v>4</v>
      </c>
      <c r="C16" s="14">
        <v>5</v>
      </c>
    </row>
    <row r="17" spans="2:3" x14ac:dyDescent="0.25">
      <c r="B17" s="1" t="s">
        <v>5</v>
      </c>
      <c r="C17" s="14">
        <v>6</v>
      </c>
    </row>
    <row r="18" spans="2:3" x14ac:dyDescent="0.25">
      <c r="B18" s="1" t="s">
        <v>6</v>
      </c>
      <c r="C18" s="14">
        <v>7</v>
      </c>
    </row>
    <row r="19" spans="2:3" x14ac:dyDescent="0.25">
      <c r="B19" s="1" t="s">
        <v>7</v>
      </c>
      <c r="C19" s="14">
        <v>8</v>
      </c>
    </row>
    <row r="20" spans="2:3" x14ac:dyDescent="0.25">
      <c r="B20" s="101" t="s">
        <v>155</v>
      </c>
      <c r="C20" s="14">
        <v>9</v>
      </c>
    </row>
    <row r="21" spans="2:3" x14ac:dyDescent="0.25">
      <c r="B21" s="1" t="s">
        <v>156</v>
      </c>
      <c r="C21" s="14">
        <v>10</v>
      </c>
    </row>
    <row r="22" spans="2:3" x14ac:dyDescent="0.25">
      <c r="B22" s="1" t="s">
        <v>157</v>
      </c>
      <c r="C22" s="14">
        <v>11</v>
      </c>
    </row>
    <row r="23" spans="2:3" x14ac:dyDescent="0.25">
      <c r="B23" s="1" t="s">
        <v>158</v>
      </c>
      <c r="C23" s="14">
        <v>12</v>
      </c>
    </row>
    <row r="24" spans="2:3" ht="15.75" thickBot="1" x14ac:dyDescent="0.3">
      <c r="B24" s="2" t="s">
        <v>159</v>
      </c>
      <c r="C24" s="8">
        <v>13</v>
      </c>
    </row>
    <row r="25" spans="2:3" x14ac:dyDescent="0.25">
      <c r="B25" s="4"/>
      <c r="C25" s="5"/>
    </row>
    <row r="26" spans="2:3" ht="15.75" thickBot="1" x14ac:dyDescent="0.3">
      <c r="B26" s="4"/>
      <c r="C26" s="5"/>
    </row>
    <row r="27" spans="2:3" ht="16.5" thickBot="1" x14ac:dyDescent="0.3">
      <c r="B27" s="11" t="s">
        <v>28</v>
      </c>
      <c r="C27" s="5"/>
    </row>
    <row r="28" spans="2:3" x14ac:dyDescent="0.25">
      <c r="B28" t="s">
        <v>10</v>
      </c>
    </row>
    <row r="29" spans="2:3" x14ac:dyDescent="0.25">
      <c r="B29" t="s">
        <v>20</v>
      </c>
    </row>
    <row r="30" spans="2:3" x14ac:dyDescent="0.25">
      <c r="B30" t="s">
        <v>24</v>
      </c>
    </row>
    <row r="31" spans="2:3" x14ac:dyDescent="0.25">
      <c r="B31" t="s">
        <v>21</v>
      </c>
    </row>
    <row r="32" spans="2:3" x14ac:dyDescent="0.25">
      <c r="B32" t="s">
        <v>25</v>
      </c>
    </row>
    <row r="33" spans="2:3" x14ac:dyDescent="0.25">
      <c r="B33" t="s">
        <v>22</v>
      </c>
    </row>
    <row r="34" spans="2:3" x14ac:dyDescent="0.25">
      <c r="B34" t="s">
        <v>23</v>
      </c>
    </row>
    <row r="35" spans="2:3" x14ac:dyDescent="0.25">
      <c r="B35" t="s">
        <v>19</v>
      </c>
    </row>
    <row r="36" spans="2:3" ht="15.75" thickBot="1" x14ac:dyDescent="0.3"/>
    <row r="37" spans="2:3" ht="16.5" thickBot="1" x14ac:dyDescent="0.3">
      <c r="B37" s="12" t="s">
        <v>29</v>
      </c>
    </row>
    <row r="38" spans="2:3" x14ac:dyDescent="0.25">
      <c r="B38" s="13" t="s">
        <v>30</v>
      </c>
      <c r="C38" s="7">
        <v>1</v>
      </c>
    </row>
    <row r="39" spans="2:3" ht="15.75" thickBot="1" x14ac:dyDescent="0.3">
      <c r="B39" s="2" t="s">
        <v>11</v>
      </c>
      <c r="C39" s="8">
        <v>2</v>
      </c>
    </row>
    <row r="40" spans="2:3" x14ac:dyDescent="0.25">
      <c r="B40" t="s">
        <v>32</v>
      </c>
    </row>
    <row r="41" spans="2:3" ht="15.75" thickBot="1" x14ac:dyDescent="0.3"/>
    <row r="42" spans="2:3" ht="16.5" thickBot="1" x14ac:dyDescent="0.3">
      <c r="B42" s="12" t="s">
        <v>114</v>
      </c>
    </row>
    <row r="43" spans="2:3" x14ac:dyDescent="0.25">
      <c r="B43" s="13" t="s">
        <v>115</v>
      </c>
      <c r="C43" s="7">
        <v>1</v>
      </c>
    </row>
    <row r="44" spans="2:3" ht="15.75" thickBot="1" x14ac:dyDescent="0.3">
      <c r="B44" s="2" t="s">
        <v>116</v>
      </c>
      <c r="C44" s="8">
        <v>2</v>
      </c>
    </row>
    <row r="45" spans="2:3" ht="15.75" thickBot="1" x14ac:dyDescent="0.3"/>
    <row r="46" spans="2:3" ht="16.5" thickBot="1" x14ac:dyDescent="0.3">
      <c r="B46" s="12" t="s">
        <v>49</v>
      </c>
    </row>
    <row r="47" spans="2:3" x14ac:dyDescent="0.25">
      <c r="B47" s="13" t="s">
        <v>50</v>
      </c>
      <c r="C47" s="7">
        <v>1</v>
      </c>
    </row>
    <row r="48" spans="2:3" x14ac:dyDescent="0.25">
      <c r="B48" s="1" t="s">
        <v>46</v>
      </c>
      <c r="C48" s="14">
        <v>2</v>
      </c>
    </row>
    <row r="49" spans="2:3" ht="15.75" thickBot="1" x14ac:dyDescent="0.3">
      <c r="B49" s="2" t="s">
        <v>47</v>
      </c>
      <c r="C49" s="8">
        <v>3</v>
      </c>
    </row>
    <row r="50" spans="2:3" ht="15.75" thickBot="1" x14ac:dyDescent="0.3"/>
    <row r="51" spans="2:3" ht="16.5" thickBot="1" x14ac:dyDescent="0.3">
      <c r="B51" s="12" t="s">
        <v>169</v>
      </c>
    </row>
    <row r="52" spans="2:3" x14ac:dyDescent="0.25">
      <c r="B52" s="9" t="s">
        <v>170</v>
      </c>
      <c r="C52" s="102">
        <v>1</v>
      </c>
    </row>
    <row r="53" spans="2:3" ht="15.75" thickBot="1" x14ac:dyDescent="0.3">
      <c r="B53" s="10" t="s">
        <v>171</v>
      </c>
      <c r="C53" s="103">
        <v>2</v>
      </c>
    </row>
    <row r="55" spans="2:3" x14ac:dyDescent="0.25">
      <c r="B55" s="115"/>
    </row>
    <row r="56" spans="2:3" x14ac:dyDescent="0.25">
      <c r="B56" s="115"/>
    </row>
    <row r="57" spans="2:3" x14ac:dyDescent="0.25">
      <c r="B57" s="115"/>
    </row>
    <row r="58" spans="2:3" x14ac:dyDescent="0.25">
      <c r="B58" s="115"/>
    </row>
  </sheetData>
  <sheetProtection algorithmName="SHA-512" hashValue="q0YcWFPT4YIcSHeVb1HZtXZX2pWwT134qDBmrR6L0uqe27T/g2pOPlXpCnml7oNGYz8ifujSP9eloPG6fNFkIA==" saltValue="MQAHwkBZrd9CxZaS9N6ZeA==" spinCount="100000" sheet="1" objects="1" scenarios="1"/>
  <mergeCells count="1">
    <mergeCell ref="B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User Guide</vt:lpstr>
      <vt:lpstr>TCO Calculator Inputs</vt:lpstr>
      <vt:lpstr>TCO Calculator Outputs</vt:lpstr>
      <vt:lpstr>DutyCycles</vt:lpstr>
      <vt:lpstr>Look Up Values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Mihelic</dc:creator>
  <cp:lastModifiedBy>Rick Mihelic</cp:lastModifiedBy>
  <dcterms:created xsi:type="dcterms:W3CDTF">2018-07-30T13:38:21Z</dcterms:created>
  <dcterms:modified xsi:type="dcterms:W3CDTF">2019-04-22T00:52:16Z</dcterms:modified>
</cp:coreProperties>
</file>