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codeName="ThisWorkbook" defaultThemeVersion="166925"/>
  <mc:AlternateContent xmlns:mc="http://schemas.openxmlformats.org/markup-compatibility/2006">
    <mc:Choice Requires="x15">
      <x15ac:absPath xmlns:x15ac="http://schemas.microsoft.com/office/spreadsheetml/2010/11/ac" url="/Users/itoussie/Downloads/"/>
    </mc:Choice>
  </mc:AlternateContent>
  <xr:revisionPtr revIDLastSave="0" documentId="13_ncr:1_{0717DD95-96FE-014C-B2AF-88BCA8077155}" xr6:coauthVersionLast="34" xr6:coauthVersionMax="34" xr10:uidLastSave="{00000000-0000-0000-0000-000000000000}"/>
  <bookViews>
    <workbookView xWindow="0" yWindow="460" windowWidth="28800" windowHeight="17360" tabRatio="733" xr2:uid="{00000000-000D-0000-FFFF-FFFF00000000}"/>
  </bookViews>
  <sheets>
    <sheet name="User Guide" sheetId="9" r:id="rId1"/>
    <sheet name="Payback Calculator" sheetId="4" r:id="rId2"/>
    <sheet name="Back end calculations" sheetId="6" r:id="rId3"/>
    <sheet name="City solar intensity" sheetId="7"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B9" i="4" l="1"/>
  <c r="B10" i="4" s="1"/>
  <c r="B11" i="4" s="1"/>
  <c r="B12" i="4" s="1"/>
  <c r="B13" i="4" s="1"/>
  <c r="B14" i="4" s="1"/>
  <c r="B15" i="4" s="1"/>
  <c r="B16" i="4" s="1"/>
  <c r="B17" i="4" s="1"/>
  <c r="B18" i="4" s="1"/>
  <c r="B19" i="4" s="1"/>
  <c r="B20" i="4" s="1"/>
  <c r="B21" i="4" s="1"/>
  <c r="B22" i="4" s="1"/>
  <c r="B23" i="4" s="1"/>
  <c r="B24" i="4" s="1"/>
  <c r="B25" i="4" s="1"/>
  <c r="B26" i="4" s="1"/>
  <c r="B27" i="4" s="1"/>
  <c r="B28" i="4" s="1"/>
  <c r="C8" i="4"/>
  <c r="F29" i="4"/>
  <c r="E29" i="4"/>
  <c r="C38" i="4" l="1"/>
  <c r="K23" i="6"/>
  <c r="K32" i="6" s="1"/>
  <c r="C40" i="4" l="1"/>
  <c r="C39" i="4"/>
  <c r="C35" i="4"/>
  <c r="C36" i="4"/>
  <c r="C37" i="4"/>
  <c r="C34" i="4"/>
  <c r="K7" i="6" l="1"/>
  <c r="K8" i="6"/>
  <c r="K9" i="6"/>
  <c r="K10" i="6"/>
  <c r="K11" i="6"/>
  <c r="K12" i="6"/>
  <c r="K13" i="6"/>
  <c r="K14" i="6"/>
  <c r="K15" i="6"/>
  <c r="K16" i="6"/>
  <c r="K17" i="6"/>
  <c r="K18" i="6"/>
  <c r="K19" i="6"/>
  <c r="K20" i="6"/>
  <c r="K21" i="6"/>
  <c r="K22" i="6"/>
  <c r="K6" i="6"/>
  <c r="K5" i="6"/>
  <c r="K4" i="6"/>
  <c r="D24" i="6"/>
  <c r="D23" i="6"/>
  <c r="D22" i="6"/>
  <c r="D21" i="6"/>
  <c r="D20" i="6"/>
  <c r="D19" i="6"/>
  <c r="D18" i="6"/>
  <c r="D17" i="6"/>
  <c r="D16" i="6"/>
  <c r="D15" i="6"/>
  <c r="D14" i="6"/>
  <c r="D13" i="6"/>
  <c r="D12" i="6"/>
  <c r="D11" i="6"/>
  <c r="D10" i="6"/>
  <c r="D9" i="6"/>
  <c r="D8" i="6"/>
  <c r="D7" i="6"/>
  <c r="D6" i="6"/>
  <c r="D5" i="6"/>
  <c r="K29" i="6" l="1"/>
  <c r="K30" i="6"/>
  <c r="D29" i="6"/>
  <c r="D35" i="4" s="1"/>
  <c r="D3" i="6"/>
  <c r="C29" i="4"/>
  <c r="N20" i="6"/>
  <c r="K28" i="6" s="1"/>
  <c r="D32" i="6"/>
  <c r="D38" i="4" s="1"/>
  <c r="G21" i="6"/>
  <c r="D28" i="6" s="1"/>
  <c r="D34" i="4" s="1"/>
  <c r="N14" i="6"/>
  <c r="G15" i="6"/>
  <c r="N7" i="6"/>
  <c r="G9" i="6"/>
  <c r="N4" i="6"/>
  <c r="N9" i="6" s="1"/>
  <c r="N10" i="6" s="1"/>
  <c r="D4" i="6"/>
  <c r="G4" i="6" s="1"/>
  <c r="G10" i="6" s="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E8" i="4" l="1"/>
  <c r="F8" i="4"/>
  <c r="G11" i="6"/>
  <c r="D30" i="6" s="1"/>
  <c r="D36" i="4" s="1"/>
  <c r="K31" i="6"/>
  <c r="K33" i="6" s="1"/>
  <c r="D31" i="6"/>
  <c r="D37" i="4" s="1"/>
  <c r="F10" i="4" l="1"/>
  <c r="C10" i="4"/>
  <c r="E10" i="4"/>
  <c r="E9" i="4"/>
  <c r="C9" i="4"/>
  <c r="F9" i="4"/>
  <c r="D33" i="6"/>
  <c r="D35" i="6" l="1"/>
  <c r="D39" i="4"/>
  <c r="E11" i="4"/>
  <c r="F11" i="4"/>
  <c r="C11" i="4"/>
  <c r="K35" i="6"/>
  <c r="D40" i="4" l="1"/>
  <c r="F12" i="4"/>
  <c r="E12" i="4"/>
  <c r="C12" i="4"/>
  <c r="C13" i="4" l="1"/>
  <c r="E13" i="4"/>
  <c r="F13" i="4"/>
  <c r="F14" i="4" l="1"/>
  <c r="E14" i="4"/>
  <c r="C14" i="4"/>
  <c r="C15" i="4" l="1"/>
  <c r="E15" i="4"/>
  <c r="F15" i="4"/>
  <c r="E17" i="4" l="1"/>
  <c r="C17" i="4"/>
  <c r="F17" i="4"/>
  <c r="E16" i="4"/>
  <c r="C16" i="4"/>
  <c r="F16" i="4"/>
  <c r="F18" i="4" l="1"/>
  <c r="C18" i="4"/>
  <c r="E18" i="4"/>
  <c r="F19" i="4" l="1"/>
  <c r="C19" i="4"/>
  <c r="E19" i="4"/>
  <c r="F20" i="4" l="1"/>
  <c r="E20" i="4"/>
  <c r="C20" i="4"/>
  <c r="C21" i="4" l="1"/>
  <c r="E21" i="4"/>
  <c r="F21" i="4"/>
  <c r="E22" i="4" l="1"/>
  <c r="F22" i="4"/>
  <c r="C22" i="4"/>
  <c r="C23" i="4" l="1"/>
  <c r="E23" i="4"/>
  <c r="F23" i="4"/>
  <c r="E24" i="4" l="1"/>
  <c r="C24" i="4"/>
  <c r="F24" i="4"/>
  <c r="E25" i="4" l="1"/>
  <c r="C25" i="4"/>
  <c r="F25" i="4"/>
  <c r="F26" i="4" l="1"/>
  <c r="C26" i="4"/>
  <c r="E26" i="4"/>
  <c r="F27" i="4" l="1"/>
  <c r="C27" i="4"/>
  <c r="E27" i="4"/>
  <c r="F28" i="4" l="1"/>
  <c r="C28" i="4"/>
  <c r="E28" i="4"/>
  <c r="B29" i="4"/>
</calcChain>
</file>

<file path=xl/sharedStrings.xml><?xml version="1.0" encoding="utf-8"?>
<sst xmlns="http://schemas.openxmlformats.org/spreadsheetml/2006/main" count="252" uniqueCount="152">
  <si>
    <t>Average Battery life in months - truck</t>
  </si>
  <si>
    <t>Total cost of battery replacements/year/truck</t>
  </si>
  <si>
    <t xml:space="preserve">Jump starts/year/truck </t>
  </si>
  <si>
    <t>Jump starts/year for entire fleet</t>
  </si>
  <si>
    <t>Average Fuel Cost per gallon</t>
  </si>
  <si>
    <t>Cost plus labor per battery replacement - 4 batteries</t>
  </si>
  <si>
    <t>Alternator Efficiency - %</t>
  </si>
  <si>
    <t>Total number of Group 31 batteries on truck</t>
  </si>
  <si>
    <t>Watt hours available from batteries</t>
  </si>
  <si>
    <t>Additional hours of APU operation from solar</t>
  </si>
  <si>
    <t>Average hours of sun during rest period during day</t>
  </si>
  <si>
    <t>Average Cost per jump start (internal/external)</t>
  </si>
  <si>
    <t>Watt hours available from solar during rest period</t>
  </si>
  <si>
    <t>Rest period solar supply capability - %</t>
  </si>
  <si>
    <t>Savings per truck per year in retention/hiring</t>
  </si>
  <si>
    <t>Cities</t>
  </si>
  <si>
    <t>PVWatts Factor for 100W panel</t>
  </si>
  <si>
    <t xml:space="preserve">New York </t>
  </si>
  <si>
    <t>Los Angeles</t>
  </si>
  <si>
    <t>Chicago</t>
  </si>
  <si>
    <t>Houston</t>
  </si>
  <si>
    <t>Philadelphia</t>
  </si>
  <si>
    <t>Phoenix</t>
  </si>
  <si>
    <t>San Antonio</t>
  </si>
  <si>
    <t>San Diego</t>
  </si>
  <si>
    <t>Dallas</t>
  </si>
  <si>
    <t>San Jose</t>
  </si>
  <si>
    <t>Austin</t>
  </si>
  <si>
    <t>Jacksonville</t>
  </si>
  <si>
    <t>San Francisco</t>
  </si>
  <si>
    <t>Indianapolis</t>
  </si>
  <si>
    <t>Columbus</t>
  </si>
  <si>
    <t>Fort Worth</t>
  </si>
  <si>
    <t>Charlotte</t>
  </si>
  <si>
    <t>Seattle</t>
  </si>
  <si>
    <t>Denver</t>
  </si>
  <si>
    <t>El Paso</t>
  </si>
  <si>
    <t>Detroit</t>
  </si>
  <si>
    <t>Washington</t>
  </si>
  <si>
    <t>Boston</t>
  </si>
  <si>
    <t>Memphis</t>
  </si>
  <si>
    <t>Nashville</t>
  </si>
  <si>
    <t>Portland, Ore.</t>
  </si>
  <si>
    <t>Oklahoma City</t>
  </si>
  <si>
    <t>Las Vegas</t>
  </si>
  <si>
    <t>Baltimore</t>
  </si>
  <si>
    <t>Louisville</t>
  </si>
  <si>
    <t>Milwaukee</t>
  </si>
  <si>
    <t>Albuquerque</t>
  </si>
  <si>
    <t>Tucson</t>
  </si>
  <si>
    <t>Fresno</t>
  </si>
  <si>
    <t>Sacramento</t>
  </si>
  <si>
    <t>Kansas City, Mo.</t>
  </si>
  <si>
    <t>Long Beach</t>
  </si>
  <si>
    <t>Mesa</t>
  </si>
  <si>
    <t>Atlanta</t>
  </si>
  <si>
    <t>Colorado Springs</t>
  </si>
  <si>
    <t>Virginia Beach</t>
  </si>
  <si>
    <t>Raleigh</t>
  </si>
  <si>
    <t>Omaha</t>
  </si>
  <si>
    <t>Miami</t>
  </si>
  <si>
    <t>Oakland</t>
  </si>
  <si>
    <t>Minneapolis</t>
  </si>
  <si>
    <t>Tulsa</t>
  </si>
  <si>
    <t>Wichita</t>
  </si>
  <si>
    <t>New Orleans</t>
  </si>
  <si>
    <t>Arlington, Texas</t>
  </si>
  <si>
    <t>kWh per day</t>
  </si>
  <si>
    <t>Vancouver, BC</t>
  </si>
  <si>
    <t>Winnepeg</t>
  </si>
  <si>
    <t>Calgary</t>
  </si>
  <si>
    <t>Toronto</t>
  </si>
  <si>
    <t>Montreal</t>
  </si>
  <si>
    <t>Anchorage</t>
  </si>
  <si>
    <t>$0 to $5,000</t>
  </si>
  <si>
    <t>Suggested Ranges</t>
  </si>
  <si>
    <t>Question #</t>
  </si>
  <si>
    <t>Value</t>
  </si>
  <si>
    <t>kWh/day for 100W Panel</t>
  </si>
  <si>
    <t>Drop Downs</t>
  </si>
  <si>
    <t>0 – 100%</t>
  </si>
  <si>
    <t>0 – 50%</t>
  </si>
  <si>
    <t>0 – 52 weeks/year</t>
  </si>
  <si>
    <t>Weeks per year battery A/C needed</t>
  </si>
  <si>
    <t>3 – 10 batteries</t>
  </si>
  <si>
    <t>0 – 6 batteries</t>
  </si>
  <si>
    <t>0 – 10 hours</t>
  </si>
  <si>
    <t>20 – 600 watts</t>
  </si>
  <si>
    <t>4 – 10 hours</t>
  </si>
  <si>
    <t>0 – 60 months</t>
  </si>
  <si>
    <t>0 – 50 amps</t>
  </si>
  <si>
    <t>Average Hotel Load during 10 hour rest period in amps</t>
  </si>
  <si>
    <t>Range 4 – 10 mpg</t>
  </si>
  <si>
    <t>Average fleet miles per gallon</t>
  </si>
  <si>
    <t>Intermediate Calcs &amp; Constants</t>
  </si>
  <si>
    <t>0 – 75%</t>
  </si>
  <si>
    <t>$0 – $300</t>
  </si>
  <si>
    <t>40,000 – 250,000 miles</t>
  </si>
  <si>
    <t>Case Study 1 Outputs</t>
  </si>
  <si>
    <t>Case Study 2 Outputs</t>
  </si>
  <si>
    <t>Payback period (in years)</t>
  </si>
  <si>
    <t>`</t>
  </si>
  <si>
    <t>n/a</t>
  </si>
  <si>
    <t>Sleeper Cab with a battery HVAC</t>
  </si>
  <si>
    <t>Sleeper Cab without a battery HVAC or a Day Cab</t>
  </si>
  <si>
    <t>Case Study 1 Inputs - Sleeper Cab with a battery HVAC</t>
  </si>
  <si>
    <t>Case Study 2 Inputs - Sleeper Cab without a battery HVAC or a Day Cab</t>
  </si>
  <si>
    <t>Quoted hardware + installation cost per truck</t>
  </si>
  <si>
    <t>Select the city most near the truck's area of operation from the drop down list</t>
  </si>
  <si>
    <t>Notes</t>
  </si>
  <si>
    <t xml:space="preserve"> </t>
  </si>
  <si>
    <t># of 10 hour rest periods/week in sleeper</t>
  </si>
  <si>
    <t>0 – 6</t>
  </si>
  <si>
    <t>% of rest periods in the sleeper that take place during the day</t>
  </si>
  <si>
    <t>% rest periods where HVAC batteries are insufficient</t>
  </si>
  <si>
    <t>How long do your HVAC batteries typically last before you have to start the engine?</t>
  </si>
  <si>
    <t>Total watts produced by panels</t>
  </si>
  <si>
    <t>Average battery life in months - HVAC</t>
  </si>
  <si>
    <t>% improvement expected in battery replacement rate</t>
  </si>
  <si>
    <t>Average truck mileage per year</t>
  </si>
  <si>
    <t>Fleet size (# trucks)</t>
  </si>
  <si>
    <t>It is unlikely that the solar panel will do more than double the battery life</t>
  </si>
  <si>
    <t>Insufficient = batteries don't last full rest period and either truck needs to be idled or HVAC needs to be turned off</t>
  </si>
  <si>
    <t>Expected % of jump starts to be avoided with solar</t>
  </si>
  <si>
    <t>We estimate the typical savings in retention/hiring for the HVAC use case to be ~$100/year</t>
  </si>
  <si>
    <t>Average fleet idle time %</t>
  </si>
  <si>
    <t>Expected idle time avoided due to solar - %</t>
  </si>
  <si>
    <t>0 – 25%</t>
  </si>
  <si>
    <t>It is possible that some idle time would be avoided, but 0% is the most likely scenario</t>
  </si>
  <si>
    <t>If your operations span a large geography (e.g. full lower 48), please select a city that represents the average (e.g. Kansas City, MO)</t>
  </si>
  <si>
    <t>We estimate the typical savings in retention/hiring for the non-HVAC use case to be $0/year</t>
  </si>
  <si>
    <t>Solar for Trucks Payback Calculator</t>
  </si>
  <si>
    <t>User Responses</t>
  </si>
  <si>
    <t>Questions</t>
  </si>
  <si>
    <t>START HERE</t>
  </si>
  <si>
    <t>©2018 North American Council for Freight Efficiency.  All rights reserved.  
The contents of this document are provided for informational purposes only and do not constitute an endorsement of any product, service, service provider, manufacturer, or manufacturing process.  Nothing contained herein is intended to constitute legal, tax, or accounting advice, and NACFE assumes no liability for use of the report contents.  No portion of this tool or accompanying materials may be copied, reproduced or distributed in any manner without express attribution to the North American Council for Freight Efficiency.</t>
  </si>
  <si>
    <t>Please select the type of solar system you want to assess from the drop down list</t>
  </si>
  <si>
    <t>Results: Cost savings and payback period (per truck)</t>
  </si>
  <si>
    <t>Annual savings from avoided jump starts</t>
  </si>
  <si>
    <t>Annual savings from extended battery life/reduced replacements</t>
  </si>
  <si>
    <t>Annual fuel savings via reduced idle time</t>
  </si>
  <si>
    <t>Annual fuel savings due to solar energy production while moving</t>
  </si>
  <si>
    <t>Annual savings in retention/hiring</t>
  </si>
  <si>
    <t>Total cost savings per truck per year</t>
  </si>
  <si>
    <t>Solar for Trucks Payback Calculator User's Guide</t>
  </si>
  <si>
    <r>
      <t xml:space="preserve">Total number of Group 31 batteries on truck
     </t>
    </r>
    <r>
      <rPr>
        <sz val="11"/>
        <color theme="1"/>
        <rFont val="Calibri"/>
        <family val="2"/>
        <scheme val="minor"/>
      </rPr>
      <t xml:space="preserve">•  This would normally be either 4 or 8 depending on your application.  The total energy available in the batteries on the vehicle is part of calculating the additional contribution that a solar panel will make in avoiding idle time.
</t>
    </r>
    <r>
      <rPr>
        <b/>
        <sz val="11"/>
        <color theme="1"/>
        <rFont val="Calibri"/>
        <family val="2"/>
        <scheme val="minor"/>
      </rPr>
      <t xml:space="preserve">Total watts produced by panels
     </t>
    </r>
    <r>
      <rPr>
        <sz val="11"/>
        <color theme="1"/>
        <rFont val="Calibri"/>
        <family val="2"/>
        <scheme val="minor"/>
      </rPr>
      <t xml:space="preserve">•  This item is the total number of rated watts of the solar panels proposed for the installation.  This can vary based upon the fairing area and the number of panels proposed.  If there are two or more panels proposed, just added the watt ratings up for each individual panel and enter the total.
</t>
    </r>
    <r>
      <rPr>
        <b/>
        <sz val="11"/>
        <color theme="1"/>
        <rFont val="Calibri"/>
        <family val="2"/>
        <scheme val="minor"/>
      </rPr>
      <t xml:space="preserve">
Expected idle time avoided due to solar - %</t>
    </r>
    <r>
      <rPr>
        <sz val="11"/>
        <color theme="1"/>
        <rFont val="Calibri"/>
        <family val="2"/>
        <scheme val="minor"/>
      </rPr>
      <t xml:space="preserve">
     •  These items are unique to the Sleeper Cab without Battery HVAC or a Day Cab case.  Calculating savings from the installation of a solar panel is slightly different when a Battery HVAC unit is not present.  It is possible that the power from the solar panel could allow some small amount of reduction in the idle times, particularly where hotel loads over a rest period might require idling but the temperature is not high enough to require the engine to be running to provide air conditioning or heating.  For example, if loads due to refrigerators, CPAP machines, etc. are high enough that the engine needs to be started before battery voltage becomes so low that the engine will not start, the solar panel can offset some of those loads and therefore avoid idling.  Enter the average fleet idle times and the percent reduction expected to get an estimate of these kind of savings.
</t>
    </r>
    <r>
      <rPr>
        <b/>
        <sz val="11"/>
        <color theme="1"/>
        <rFont val="Calibri"/>
        <family val="2"/>
        <scheme val="minor"/>
      </rPr>
      <t xml:space="preserve">
Cost plus labor per battery replacement - 4 batteries</t>
    </r>
    <r>
      <rPr>
        <sz val="11"/>
        <color theme="1"/>
        <rFont val="Calibri"/>
        <family val="2"/>
        <scheme val="minor"/>
      </rPr>
      <t xml:space="preserve">
     •  Since one of the benefits of solar panels is to help extend battery life, we need to determine what the current average life of the batteries in the fleet are.  Since it is possible that the starting batteries for the truck have a different average life than the ones for the battery HVAC system, we decided to allow the entry of different numbers.  If the fleet data is insufficient to separate these, then just enter the same number in both lines.
     •  Some fleets reported that their average battery life was around 18 to 24 months while others stated that their average life was around 4 years.  Of course, this number depends on a wide variety of factors, including maintenance practices, driver controls, vehicle duty cycle, battery technology selection, etc.  It seems that about 24 months or so was the most common answer to this question.
     •  Many fleets have a maintenance program where individual batteries are replaced before a certain age, after which they are replaced as a set of 4.  We would recommend using an average life for a set that includes both types of replacement.  Depending on the type of records the fleet maintains, this may be difficult to determine.  Often, fleets have the records that indicate the total battery replacements for a given year by vehicle group.  If this is the case, it is possible to make a pretty good guess of average battery life from these types of records.
     •  If a fleet has a maintenance strategy of replacing batteries at a fixed mileage regardless of their condition, then the fleet would need to consider whether a change to that maintenance practice makes sense if they invest in solar panels. 
</t>
    </r>
    <r>
      <rPr>
        <b/>
        <sz val="11"/>
        <color theme="1"/>
        <rFont val="Calibri"/>
        <family val="2"/>
        <scheme val="minor"/>
      </rPr>
      <t>% improvement expected in battery replacement rate</t>
    </r>
    <r>
      <rPr>
        <sz val="11"/>
        <color theme="1"/>
        <rFont val="Calibri"/>
        <family val="2"/>
        <scheme val="minor"/>
      </rPr>
      <t xml:space="preserve">
     •  We think it is feasible that battery life could be extended by 50% as a result of installing a solar panel on the tractor.  However, this number could vary significantly depending on a wide variety of factors as stated above.
     •  Fleets that have implemented solar panels have indicated that they think battery life has been extended compared to before using solar panels, but this data was anecdotal.  Logically, the improvement in battery life should be there, but we have not been able to verify this with data from a large-scale study.
</t>
    </r>
  </si>
  <si>
    <r>
      <t xml:space="preserve">Expected % of jump starts to be avoided with solar
     </t>
    </r>
    <r>
      <rPr>
        <sz val="11"/>
        <color theme="1"/>
        <rFont val="Calibri"/>
        <family val="2"/>
        <scheme val="minor"/>
      </rPr>
      <t>•  Another benefit of installing solar panels on a tractor is the potential to avoid expensive jump starts because the solar panel can help maintain the batteries at a higher average state of charge.  The above questions are targeted at determining what the cost of these jump starts are and the amount that might be avoided with the implementation of solar panels.
     •  Many fleets told us that they don’t track jump start incidents closely.  They indicated that if a jump start is needed in one of their internal yards that the incident and cost is often not tracked at all, but rather just included in the overall maintenance expense.  Also, jump starts that require battery replacements are tracked in the battery category vs. emergency repairs.  In the end, this expense is one that can be quite expensive at times and the costs might be avoided with the implementation of solar panels.
     •  Fleets that have implemented solar panels indicated that jump starts have indeed decreased compared to before implementing solar panels, but this data was also anecdotal.  However, it stands to reason that if battery life is extended as a result of implementing solar panels that the number of jump starts required would also decrease.
     •  We think that it’s feasible that the number of jump starts required would decrease by 30% to 50%.  However, it would be wise to look at the reasons for the jump starts within the fleet to determine if there are other factors involved besides batteries getting to the end of their life or hotel loads draining the batteries during 34-hour reset periods.  The power from the solar panel would help in these situations, but in others it might not.  An example of conditions where the solar panel might not help would be leakage current due to poor electrical connections or grounds. Another example might be a failed battery due to low fluid or a defect in one or more of the cells.</t>
    </r>
    <r>
      <rPr>
        <b/>
        <sz val="11"/>
        <color theme="1"/>
        <rFont val="Calibri"/>
        <family val="2"/>
        <scheme val="minor"/>
      </rPr>
      <t xml:space="preserve">
Average Fuel Cost per gallon
     </t>
    </r>
    <r>
      <rPr>
        <sz val="11"/>
        <color theme="1"/>
        <rFont val="Calibri"/>
        <family val="2"/>
        <scheme val="minor"/>
      </rPr>
      <t xml:space="preserve">•  To calculate how much fuel might be saved due to the solar panel providing some of the power as the vehicle travels down the road, we need to understand the average miles travelled per year and average fuel economy.  From this, along with other numbers provided above, we can calculate the effect of the contribution of the solar panel current on alternator load.  Generally, this savings is a relatively small number compared to the others, but it is nevertheless a real savings.
     •  The change in vehicle fuel economy from this effect would be undetectable by normal measurement techniques, so this calculation is based on an engineering estimate of the power available from the solar panel annually.  We have assumed that the alternator efficiency is about 45% in this calculation – that is, it would take a little over twice as much power going into the alternator from the engine to generate the power that the solar panel would provide.
</t>
    </r>
    <r>
      <rPr>
        <b/>
        <sz val="11"/>
        <color theme="1"/>
        <rFont val="Calibri"/>
        <family val="2"/>
        <scheme val="minor"/>
      </rPr>
      <t xml:space="preserve">
Annual savings in retention/hiring</t>
    </r>
    <r>
      <rPr>
        <sz val="11"/>
        <color theme="1"/>
        <rFont val="Calibri"/>
        <family val="2"/>
        <scheme val="minor"/>
      </rPr>
      <t xml:space="preserve">
     •  Since most fleets we talked to implemented solar panels primarily based on an assumption of improving driver retention and thus avoiding hiring and training expenditures, we have included this line item to put a value on this assumption.
     •  We think it is reasonable given the very high cost of hiring and training drivers that a benefit of $100 per truck per year is a valid assumption if solar panels are installed on the vehicle.  However, we recognize that each fleet will value this benefit differently, so the user should enter a number that seems reasonable for their particular operation.
</t>
    </r>
    <r>
      <rPr>
        <b/>
        <sz val="11"/>
        <color theme="1"/>
        <rFont val="Calibri"/>
        <family val="2"/>
        <scheme val="minor"/>
      </rPr>
      <t>Results: Payback period (in years)</t>
    </r>
    <r>
      <rPr>
        <sz val="11"/>
        <color theme="1"/>
        <rFont val="Calibri"/>
        <family val="2"/>
        <scheme val="minor"/>
      </rPr>
      <t xml:space="preserve">
     •  From the inputs, we calculate the annual potential benefits in each of the five categories mentioned above.  The total cost savings is the sum of these five factors and the payback is a simple calculation of including the initial purchase cost vs. the benefits.  We did not attempt to calculate the payback period using standard time value of money parameters since the numbers are simply directional and not meant to be an exact financial calculation.
</t>
    </r>
  </si>
  <si>
    <t>Yes</t>
  </si>
  <si>
    <t>No</t>
  </si>
  <si>
    <t>Have you completely answered all of the questions above? (select from drop down)</t>
  </si>
  <si>
    <t xml:space="preserve">Instructions: Please fill out the form below in order to estimate the financial savings and associated payback period for a solar system investment for your truck. Once you have completed filling out the form, select "Yes" from the drop down box before the "Results" section in order to see your results. Once you have done so, you may change individual values and the calculations will automatically update in the results. If you would like to start over, you will need to manually delete your answers. </t>
  </si>
  <si>
    <r>
      <t xml:space="preserve">The Excel file model that is provided with this paper is designed to help fleets evaluate what the value of investing in solar technology on new tractors.  As we have discussed, there are many factors to consider related to solar technology on trucks and evaluating the value of the benefits vs. the costs can be quite difficult.  Factors like area of the country and normal driving cycle can make a big difference in the effectiveness and benefits of solar panels.  In addition, one of the key benefits of solar technology on tractors is improving the life of batteries and avoiding some service calls due to dead batteries.
The Excel file has a short questionnaire that asks the user to fill in responses.  Once responses are filled in, select "yes" from the drop down before the "results" section and the spreadsheet will return numbers about expected annual savings per truck and calculate a rough estimate of the payback period for the investment.
We have identified five areas where a solar panel system installed on the tractor can provide financial benefit to the fleet:
    •  Reduction of engine idling during mandatory rest periods
    •  Improvement in battery life due to maintaining the batteries at a higher average state of charge
    •  Reduction in vehicle jump start incidents due to dead batteries
    •  Fuel savings due to solar power production reducing alternator load during normal vehicle operation
    •  Savings in driver retention and hiring expenses due to the technology being installed on the vehicles
</t>
    </r>
    <r>
      <rPr>
        <b/>
        <sz val="11"/>
        <color theme="1"/>
        <rFont val="Calibri"/>
        <family val="2"/>
        <scheme val="minor"/>
      </rPr>
      <t xml:space="preserve">
</t>
    </r>
    <r>
      <rPr>
        <b/>
        <u/>
        <sz val="11"/>
        <color theme="1"/>
        <rFont val="Calibri"/>
        <family val="2"/>
        <scheme val="minor"/>
      </rPr>
      <t>Explanation of the Questions:</t>
    </r>
    <r>
      <rPr>
        <sz val="11"/>
        <color theme="1"/>
        <rFont val="Calibri"/>
        <family val="2"/>
        <scheme val="minor"/>
      </rPr>
      <t xml:space="preserve">
When you first load the Excel file, a button may appear at the top of the screen asking if you want to enable editing.  Press this button to allow the spreadsheet to accept inputs. Many of the questions are self-explanatory. Those that are not straight-forward are explained in detail below.
</t>
    </r>
    <r>
      <rPr>
        <b/>
        <sz val="11"/>
        <color theme="1"/>
        <rFont val="Calibri"/>
        <family val="2"/>
        <scheme val="minor"/>
      </rPr>
      <t xml:space="preserve">
Please select the type of solar system you want to assess from the drop down list</t>
    </r>
    <r>
      <rPr>
        <sz val="11"/>
        <color theme="1"/>
        <rFont val="Calibri"/>
        <family val="2"/>
        <scheme val="minor"/>
      </rPr>
      <t xml:space="preserve">
    •  This model is set up to take responses related to two different scenarios.  One is ‘Sleeper Cab with battery HVAC’.  The second is ‘Sleeper Cab without a battery HVAC or a Day Cab’.  Pick the most appropriate one for your application and a list of additional questions to be answered will appear.  
</t>
    </r>
    <r>
      <rPr>
        <b/>
        <sz val="11"/>
        <color theme="1"/>
        <rFont val="Calibri"/>
        <family val="2"/>
        <scheme val="minor"/>
      </rPr>
      <t xml:space="preserve">
Quoted hardware + installation cost per truck
     </t>
    </r>
    <r>
      <rPr>
        <sz val="11"/>
        <color theme="1"/>
        <rFont val="Calibri"/>
        <family val="2"/>
        <scheme val="minor"/>
      </rPr>
      <t xml:space="preserve">•  In order to evaluate an investment in solar panels, you need to understand the front end cost of both the hardware and the installation.  Of course, this will vary based upon the size of the panel or panels selected as well as the projected installation cost per unit.
</t>
    </r>
    <r>
      <rPr>
        <b/>
        <sz val="11"/>
        <color theme="1"/>
        <rFont val="Calibri"/>
        <family val="2"/>
        <scheme val="minor"/>
      </rPr>
      <t xml:space="preserve">
Select the city most near the truck's area of operation from the drop down list</t>
    </r>
    <r>
      <rPr>
        <sz val="11"/>
        <color theme="1"/>
        <rFont val="Calibri"/>
        <family val="2"/>
        <scheme val="minor"/>
      </rPr>
      <t xml:space="preserve">
     •  The area of the country that the vehicle runs has a significant effect on the energy that a solar panel can produce.  For this item, we selected 50 or so large metropolitan areas around the US and Canada to make this a straightforward choice.  We used the output from a solar panel tool called PVWatts maintained by the National Renewable Energy Lab that calculates the expected energy output of solar panels based on average solar illumination data that has been accumulated over several years in each of these areas. 
     •  Note:  We have assumed the solar panel would be mounted on the truck fairing and that its angle is 20 degrees inclined.  Some fairings vary from this angle, so the solar panel output would vary slightly accordingly.  We have further assumed that the orientation of the panel to the sun is an average of 90 degrees off from ideal.  This accounts for the fact that the orientation of the truck relative to the sun, which cannot be controlled, will vary the full 360 degrees and average out over time.
</t>
    </r>
    <r>
      <rPr>
        <b/>
        <sz val="11"/>
        <color theme="1"/>
        <rFont val="Calibri"/>
        <family val="2"/>
        <scheme val="minor"/>
      </rPr>
      <t xml:space="preserve"># of 10-hour rest periods/week in sleeper
     </t>
    </r>
    <r>
      <rPr>
        <sz val="11"/>
        <color theme="1"/>
        <rFont val="Calibri"/>
        <family val="2"/>
        <scheme val="minor"/>
      </rPr>
      <t xml:space="preserve">•  Enter the number of 10-hour rest periods per week that the driver will spend in the sleeper vs. somewhere else.  One primary benefit of installing a solar panel on a sleeper with a battery HVAC is to help minimize engine idling during the required 10-hour rest periods.  Since there are several of these per week vs. one 34-hour reset period where the driver may or may not be in the truck sleeper berth, we used this as a means of estimating one of the benefits of the solar panel. 
</t>
    </r>
    <r>
      <rPr>
        <b/>
        <sz val="11"/>
        <color theme="1"/>
        <rFont val="Calibri"/>
        <family val="2"/>
        <scheme val="minor"/>
      </rPr>
      <t>How long do your HVAC batteries typically last before you have to start the engine?</t>
    </r>
    <r>
      <rPr>
        <sz val="11"/>
        <color theme="1"/>
        <rFont val="Calibri"/>
        <family val="2"/>
        <scheme val="minor"/>
      </rPr>
      <t xml:space="preserve">
     •  One benefit of solar panels is to assist the truck and battery HVAC batteries during 10-hour rest periods.  To estimate this benefit, we need to understand a few things about the vehicle operation.  First, since the primary function of the battery HVAC unit is to provide air conditioning to the sleeper berth during hotter weather without idling the engine, we need to estimate how often that function is needed.  The batteries are generally able to provide hotel load support for a very long time if A/C is not required.
     •  To estimate the effect of the solar panel, you need to assume which part of rest periods actually occur during the daylight hours.  The added power produced by the solar panel will have the effect of extending the time before the engine needs to start to recharge the batteries.  Solar panel production at night is minimal and will not help extend the number of hours that the battery HVAC system will provide comfort to the driver.
     •  If the battery system has enough power to supply the needs of the driver for the full 10-hour rest period, then a solar panel will not help avoid engine idling during that rest period.  The questions are trying to ascertain how often and to what degree the battery HVAC has insufficient power to complete a rest period.  When this is the case, the power generated from the solar panel will help eliminate engine idling.
     •  As noted in the report, idling the engine to charge batteries and run hotel loads consumes approximately 1 gallon/hour of diesel fuel.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</si>
</sst>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_);_(&quot;$&quot;* \(#,##0\);_(&quot;$&quot;* &quot;-&quot;??_);_(@_)"/>
    <numFmt numFmtId="168" formatCode="0\%"/>
  </numFmts>
  <fonts count="15">
    <font>
      <sz val="11"/>
      <color theme="1"/>
      <name val="Calibri"/>
      <family val="2"/>
      <scheme val="minor"/>
    </font>
    <font>
      <sz val="10"/>
      <color rgb="FF333333"/>
      <name val="Arial"/>
      <family val="2"/>
    </font>
    <font>
      <b/>
      <sz val="7"/>
      <color rgb="FFFF5400"/>
      <name val="Arial"/>
      <family val="2"/>
    </font>
    <font>
      <sz val="11"/>
      <color theme="1"/>
      <name val="Calibri"/>
      <family val="2"/>
      <scheme val="minor"/>
    </font>
    <font>
      <b/>
      <sz val="11"/>
      <color theme="1"/>
      <name val="Calibri"/>
      <family val="2"/>
      <scheme val="minor"/>
    </font>
    <font>
      <b/>
      <sz val="30"/>
      <color rgb="FF183B66"/>
      <name val="Arial"/>
      <family val="2"/>
    </font>
    <font>
      <b/>
      <sz val="32"/>
      <color rgb="FF183B66"/>
      <name val="Arial"/>
      <family val="2"/>
    </font>
    <font>
      <sz val="11"/>
      <name val="Calibri"/>
      <family val="2"/>
      <scheme val="minor"/>
    </font>
    <font>
      <b/>
      <sz val="12"/>
      <color rgb="FF183B66"/>
      <name val="Calibri"/>
      <family val="2"/>
      <scheme val="minor"/>
    </font>
    <font>
      <sz val="11"/>
      <color rgb="FF183B66"/>
      <name val="Calibri"/>
      <family val="2"/>
      <scheme val="minor"/>
    </font>
    <font>
      <b/>
      <sz val="16"/>
      <color rgb="FF183B66"/>
      <name val="Calibri"/>
      <family val="2"/>
      <scheme val="minor"/>
    </font>
    <font>
      <b/>
      <sz val="16"/>
      <color rgb="FF0070C0"/>
      <name val="Calibri"/>
      <family val="2"/>
      <scheme val="minor"/>
    </font>
    <font>
      <b/>
      <sz val="14"/>
      <color theme="9" tint="-0.249977111117893"/>
      <name val="Calibri"/>
      <family val="2"/>
      <scheme val="minor"/>
    </font>
    <font>
      <b/>
      <sz val="11"/>
      <color rgb="FF183B66"/>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double">
        <color indexed="64"/>
      </bottom>
      <diagonal/>
    </border>
    <border>
      <left style="medium">
        <color rgb="FF183B66"/>
      </left>
      <right/>
      <top style="medium">
        <color rgb="FF183B66"/>
      </top>
      <bottom style="medium">
        <color rgb="FF183B66"/>
      </bottom>
      <diagonal/>
    </border>
    <border>
      <left/>
      <right/>
      <top style="medium">
        <color rgb="FF183B66"/>
      </top>
      <bottom style="medium">
        <color rgb="FF183B66"/>
      </bottom>
      <diagonal/>
    </border>
    <border>
      <left/>
      <right style="medium">
        <color rgb="FF183B66"/>
      </right>
      <top style="medium">
        <color rgb="FF183B66"/>
      </top>
      <bottom style="medium">
        <color rgb="FF183B66"/>
      </bottom>
      <diagonal/>
    </border>
    <border>
      <left style="thin">
        <color rgb="FF183B66"/>
      </left>
      <right/>
      <top style="thin">
        <color rgb="FF183B66"/>
      </top>
      <bottom style="thin">
        <color rgb="FF183B66"/>
      </bottom>
      <diagonal/>
    </border>
    <border>
      <left/>
      <right/>
      <top style="thin">
        <color rgb="FF183B66"/>
      </top>
      <bottom style="thin">
        <color rgb="FF183B66"/>
      </bottom>
      <diagonal/>
    </border>
    <border>
      <left/>
      <right style="thin">
        <color rgb="FF183B66"/>
      </right>
      <top style="thin">
        <color rgb="FF183B66"/>
      </top>
      <bottom style="thin">
        <color rgb="FF183B66"/>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183B66"/>
      </left>
      <right/>
      <top/>
      <bottom/>
      <diagonal/>
    </border>
    <border>
      <left/>
      <right style="thin">
        <color rgb="FF183B66"/>
      </right>
      <top/>
      <bottom/>
      <diagonal/>
    </border>
    <border>
      <left style="thin">
        <color rgb="FF183B66"/>
      </left>
      <right/>
      <top/>
      <bottom style="thin">
        <color rgb="FF183B66"/>
      </bottom>
      <diagonal/>
    </border>
    <border>
      <left/>
      <right/>
      <top/>
      <bottom style="thin">
        <color rgb="FF183B66"/>
      </bottom>
      <diagonal/>
    </border>
    <border>
      <left/>
      <right style="thin">
        <color rgb="FF183B66"/>
      </right>
      <top/>
      <bottom style="thin">
        <color rgb="FF183B66"/>
      </bottom>
      <diagonal/>
    </border>
    <border>
      <left style="medium">
        <color rgb="FF183B66"/>
      </left>
      <right/>
      <top/>
      <bottom/>
      <diagonal/>
    </border>
    <border>
      <left/>
      <right style="medium">
        <color rgb="FF183B66"/>
      </right>
      <top/>
      <bottom/>
      <diagonal/>
    </border>
    <border>
      <left style="medium">
        <color rgb="FF183B66"/>
      </left>
      <right/>
      <top/>
      <bottom style="double">
        <color rgb="FF183B66"/>
      </bottom>
      <diagonal/>
    </border>
    <border>
      <left/>
      <right style="medium">
        <color rgb="FF183B66"/>
      </right>
      <top/>
      <bottom style="double">
        <color rgb="FF183B66"/>
      </bottom>
      <diagonal/>
    </border>
    <border>
      <left style="medium">
        <color rgb="FF183B66"/>
      </left>
      <right/>
      <top/>
      <bottom style="medium">
        <color rgb="FF183B66"/>
      </bottom>
      <diagonal/>
    </border>
    <border>
      <left/>
      <right style="medium">
        <color rgb="FF183B66"/>
      </right>
      <top/>
      <bottom style="medium">
        <color rgb="FF183B66"/>
      </bottom>
      <diagonal/>
    </border>
    <border>
      <left style="medium">
        <color rgb="FF183B66"/>
      </left>
      <right/>
      <top style="double">
        <color rgb="FF183B66"/>
      </top>
      <bottom style="thin">
        <color rgb="FF183B66"/>
      </bottom>
      <diagonal/>
    </border>
    <border>
      <left/>
      <right style="medium">
        <color rgb="FF183B66"/>
      </right>
      <top style="double">
        <color rgb="FF183B66"/>
      </top>
      <bottom style="thin">
        <color rgb="FF183B66"/>
      </bottom>
      <diagonal/>
    </border>
    <border>
      <left/>
      <right/>
      <top style="medium">
        <color rgb="FF183B66"/>
      </top>
      <bottom/>
      <diagonal/>
    </border>
    <border>
      <left style="medium">
        <color rgb="FF183B66"/>
      </left>
      <right/>
      <top style="medium">
        <color rgb="FF183B66"/>
      </top>
      <bottom/>
      <diagonal/>
    </border>
    <border>
      <left/>
      <right style="medium">
        <color rgb="FF183B66"/>
      </right>
      <top style="medium">
        <color rgb="FF183B66"/>
      </top>
      <bottom/>
      <diagonal/>
    </border>
    <border>
      <left/>
      <right/>
      <top/>
      <bottom style="medium">
        <color rgb="FF183B66"/>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2">
    <xf numFmtId="0" fontId="0" fillId="0" borderId="0" xfId="0"/>
    <xf numFmtId="0" fontId="0" fillId="2" borderId="0" xfId="0" applyFill="1"/>
    <xf numFmtId="2" fontId="0" fillId="0" borderId="0" xfId="0" applyNumberFormat="1"/>
    <xf numFmtId="0" fontId="1" fillId="0" borderId="0" xfId="0" applyFont="1"/>
    <xf numFmtId="0" fontId="2" fillId="0" borderId="0" xfId="0" applyFont="1"/>
    <xf numFmtId="165" fontId="0" fillId="0" borderId="0" xfId="0" applyNumberFormat="1"/>
    <xf numFmtId="0" fontId="4" fillId="0" borderId="0" xfId="0" applyFont="1"/>
    <xf numFmtId="44" fontId="0" fillId="2" borderId="0" xfId="2" applyFont="1" applyFill="1"/>
    <xf numFmtId="44" fontId="0" fillId="2" borderId="0" xfId="2" applyNumberFormat="1" applyFont="1" applyFill="1"/>
    <xf numFmtId="44" fontId="0" fillId="0" borderId="0" xfId="0" applyNumberFormat="1"/>
    <xf numFmtId="166" fontId="0" fillId="2" borderId="0" xfId="1" applyNumberFormat="1" applyFont="1" applyFill="1"/>
    <xf numFmtId="9" fontId="0" fillId="0" borderId="0" xfId="3" applyFont="1"/>
    <xf numFmtId="167" fontId="0" fillId="2" borderId="0" xfId="2" applyNumberFormat="1" applyFont="1" applyFill="1"/>
    <xf numFmtId="44" fontId="0" fillId="0" borderId="0" xfId="2" applyNumberFormat="1" applyFont="1"/>
    <xf numFmtId="0" fontId="0" fillId="0" borderId="1" xfId="0" applyBorder="1"/>
    <xf numFmtId="44" fontId="0" fillId="0" borderId="1" xfId="0" applyNumberFormat="1" applyBorder="1"/>
    <xf numFmtId="0" fontId="0" fillId="0" borderId="0" xfId="0" applyFill="1" applyBorder="1"/>
    <xf numFmtId="168" fontId="0" fillId="2" borderId="0" xfId="3" applyNumberFormat="1" applyFont="1" applyFill="1"/>
    <xf numFmtId="168" fontId="0" fillId="2" borderId="0" xfId="0" applyNumberFormat="1" applyFill="1"/>
    <xf numFmtId="44" fontId="0" fillId="0" borderId="0" xfId="0" applyNumberFormat="1" applyBorder="1"/>
    <xf numFmtId="0" fontId="7" fillId="0" borderId="0" xfId="0" applyNumberFormat="1" applyFont="1" applyFill="1" applyBorder="1" applyAlignment="1">
      <alignment horizontal="right" indent="2"/>
    </xf>
    <xf numFmtId="0" fontId="7" fillId="0" borderId="0" xfId="3" applyNumberFormat="1" applyFont="1" applyFill="1" applyBorder="1" applyAlignment="1">
      <alignment horizontal="right" indent="2"/>
    </xf>
    <xf numFmtId="0" fontId="7" fillId="0" borderId="0" xfId="2" applyNumberFormat="1" applyFont="1" applyFill="1" applyBorder="1" applyAlignment="1">
      <alignment horizontal="right" indent="2"/>
    </xf>
    <xf numFmtId="0" fontId="7" fillId="0" borderId="0" xfId="1" applyNumberFormat="1" applyFont="1" applyFill="1" applyBorder="1" applyAlignment="1">
      <alignment horizontal="right" indent="2"/>
    </xf>
    <xf numFmtId="0" fontId="7" fillId="0" borderId="14" xfId="0" applyNumberFormat="1" applyFont="1" applyFill="1" applyBorder="1" applyAlignment="1">
      <alignment horizontal="right" indent="2"/>
    </xf>
    <xf numFmtId="0" fontId="7" fillId="0" borderId="0" xfId="0" applyNumberFormat="1" applyFont="1" applyFill="1" applyBorder="1" applyAlignment="1">
      <alignment horizontal="right" wrapText="1" indent="2"/>
    </xf>
    <xf numFmtId="0" fontId="0" fillId="3" borderId="0" xfId="0" applyFill="1" applyProtection="1">
      <protection hidden="1"/>
    </xf>
    <xf numFmtId="0" fontId="7" fillId="3" borderId="16" xfId="0" applyFont="1" applyFill="1" applyBorder="1" applyAlignment="1" applyProtection="1">
      <alignment horizontal="left" vertical="center" indent="2"/>
      <protection hidden="1"/>
    </xf>
    <xf numFmtId="164" fontId="7" fillId="3" borderId="17" xfId="0" applyNumberFormat="1" applyFont="1" applyFill="1" applyBorder="1" applyAlignment="1" applyProtection="1">
      <alignment horizontal="left" vertical="center" indent="6"/>
      <protection hidden="1"/>
    </xf>
    <xf numFmtId="0" fontId="7" fillId="3" borderId="18" xfId="0" applyFont="1" applyFill="1" applyBorder="1" applyAlignment="1" applyProtection="1">
      <alignment horizontal="left" vertical="center" indent="2"/>
      <protection hidden="1"/>
    </xf>
    <xf numFmtId="164" fontId="7" fillId="3" borderId="19" xfId="0" applyNumberFormat="1" applyFont="1" applyFill="1" applyBorder="1" applyAlignment="1" applyProtection="1">
      <alignment horizontal="left" vertical="center" indent="6"/>
      <protection hidden="1"/>
    </xf>
    <xf numFmtId="0" fontId="12" fillId="3" borderId="22" xfId="0" applyFont="1" applyFill="1" applyBorder="1" applyAlignment="1" applyProtection="1">
      <alignment horizontal="left" vertical="center" indent="2"/>
      <protection hidden="1"/>
    </xf>
    <xf numFmtId="0" fontId="12" fillId="3" borderId="20" xfId="0" applyFont="1" applyFill="1" applyBorder="1" applyAlignment="1" applyProtection="1">
      <alignment horizontal="left" vertical="center" indent="2"/>
      <protection hidden="1"/>
    </xf>
    <xf numFmtId="0" fontId="7" fillId="0" borderId="14" xfId="0" applyFont="1" applyFill="1" applyBorder="1" applyAlignment="1" applyProtection="1">
      <alignment horizontal="left" indent="2"/>
      <protection hidden="1"/>
    </xf>
    <xf numFmtId="0" fontId="7" fillId="0" borderId="15" xfId="0" applyFont="1" applyFill="1" applyBorder="1" applyAlignment="1" applyProtection="1">
      <alignment horizontal="left" wrapText="1"/>
      <protection hidden="1"/>
    </xf>
    <xf numFmtId="0" fontId="7" fillId="0" borderId="13" xfId="0" applyFont="1" applyFill="1" applyBorder="1" applyAlignment="1" applyProtection="1">
      <alignment horizontal="center"/>
      <protection hidden="1"/>
    </xf>
    <xf numFmtId="0" fontId="7" fillId="0" borderId="0" xfId="0" applyFont="1" applyFill="1" applyBorder="1" applyAlignment="1" applyProtection="1">
      <alignment horizontal="left" indent="2"/>
      <protection hidden="1"/>
    </xf>
    <xf numFmtId="0" fontId="7" fillId="0" borderId="12" xfId="0" applyFont="1" applyFill="1" applyBorder="1" applyAlignment="1" applyProtection="1">
      <alignment horizontal="left" wrapText="1"/>
      <protection hidden="1"/>
    </xf>
    <xf numFmtId="0" fontId="7" fillId="0" borderId="11" xfId="0" applyFont="1" applyFill="1" applyBorder="1" applyAlignment="1" applyProtection="1">
      <alignment horizontal="center"/>
      <protection hidden="1"/>
    </xf>
    <xf numFmtId="0" fontId="8" fillId="0" borderId="5" xfId="0" applyFont="1" applyFill="1" applyBorder="1" applyProtection="1">
      <protection hidden="1"/>
    </xf>
    <xf numFmtId="0" fontId="8" fillId="0" borderId="6" xfId="0" applyFont="1" applyFill="1" applyBorder="1" applyAlignment="1" applyProtection="1">
      <alignment horizontal="left" indent="2"/>
      <protection hidden="1"/>
    </xf>
    <xf numFmtId="0" fontId="8" fillId="0" borderId="7" xfId="0" applyFont="1" applyFill="1" applyBorder="1" applyAlignment="1" applyProtection="1">
      <alignment horizontal="left" indent="2"/>
      <protection hidden="1"/>
    </xf>
    <xf numFmtId="0" fontId="0" fillId="3" borderId="0" xfId="0" applyFill="1" applyAlignment="1" applyProtection="1">
      <alignment vertical="top" wrapText="1"/>
      <protection hidden="1"/>
    </xf>
    <xf numFmtId="0" fontId="0" fillId="3" borderId="0" xfId="0" applyFill="1" applyAlignment="1" applyProtection="1">
      <alignment vertical="top"/>
      <protection hidden="1"/>
    </xf>
    <xf numFmtId="0" fontId="4" fillId="3" borderId="0" xfId="0" applyFont="1" applyFill="1" applyBorder="1" applyAlignment="1" applyProtection="1">
      <alignment vertical="top" wrapText="1"/>
      <protection hidden="1"/>
    </xf>
    <xf numFmtId="0" fontId="10" fillId="3" borderId="4" xfId="0" applyFont="1" applyFill="1" applyBorder="1" applyAlignment="1" applyProtection="1">
      <alignment horizontal="center" vertical="center"/>
      <protection hidden="1"/>
    </xf>
    <xf numFmtId="0" fontId="13" fillId="3" borderId="2" xfId="0" applyFont="1" applyFill="1" applyBorder="1" applyAlignment="1" applyProtection="1">
      <alignment horizontal="left" vertical="center" indent="2"/>
      <protection hidden="1"/>
    </xf>
    <xf numFmtId="164" fontId="7" fillId="3" borderId="21" xfId="0" applyNumberFormat="1" applyFont="1" applyFill="1" applyBorder="1" applyAlignment="1" applyProtection="1">
      <alignment horizontal="left" vertical="center" indent="6"/>
      <protection hidden="1"/>
    </xf>
    <xf numFmtId="164" fontId="7" fillId="3" borderId="23" xfId="0" applyNumberFormat="1" applyFont="1" applyFill="1" applyBorder="1" applyAlignment="1" applyProtection="1">
      <alignment horizontal="left" vertical="center" indent="6"/>
      <protection hidden="1"/>
    </xf>
    <xf numFmtId="0" fontId="4" fillId="3" borderId="0" xfId="0" applyFont="1" applyFill="1" applyBorder="1" applyAlignment="1" applyProtection="1">
      <alignment horizontal="left" vertical="top" wrapText="1"/>
      <protection hidden="1"/>
    </xf>
    <xf numFmtId="0" fontId="6" fillId="3" borderId="2" xfId="0" applyFont="1" applyFill="1" applyBorder="1" applyAlignment="1" applyProtection="1">
      <alignment horizontal="left" vertical="center" indent="2"/>
      <protection hidden="1"/>
    </xf>
    <xf numFmtId="0" fontId="5" fillId="3" borderId="3" xfId="0" applyFont="1" applyFill="1" applyBorder="1" applyAlignment="1" applyProtection="1">
      <alignment horizontal="left" vertical="center" indent="2"/>
      <protection hidden="1"/>
    </xf>
    <xf numFmtId="0" fontId="5" fillId="3" borderId="4" xfId="0" applyFont="1" applyFill="1" applyBorder="1" applyAlignment="1" applyProtection="1">
      <alignment horizontal="left" vertical="center" indent="2"/>
      <protection hidden="1"/>
    </xf>
    <xf numFmtId="0" fontId="0" fillId="3" borderId="25" xfId="0" applyFill="1" applyBorder="1" applyAlignment="1" applyProtection="1">
      <alignment horizontal="left" vertical="top" wrapText="1"/>
      <protection hidden="1"/>
    </xf>
    <xf numFmtId="0" fontId="0" fillId="3" borderId="24" xfId="0" applyFill="1" applyBorder="1" applyAlignment="1" applyProtection="1">
      <alignment horizontal="left" vertical="top" wrapText="1"/>
      <protection hidden="1"/>
    </xf>
    <xf numFmtId="0" fontId="0" fillId="3" borderId="26" xfId="0" applyFill="1" applyBorder="1" applyAlignment="1" applyProtection="1">
      <alignment horizontal="left" vertical="top" wrapText="1"/>
      <protection hidden="1"/>
    </xf>
    <xf numFmtId="0" fontId="0" fillId="3" borderId="16" xfId="0" applyFill="1" applyBorder="1" applyAlignment="1" applyProtection="1">
      <alignment horizontal="left" vertical="top" wrapText="1"/>
      <protection hidden="1"/>
    </xf>
    <xf numFmtId="0" fontId="0" fillId="3" borderId="0" xfId="0" applyFill="1" applyBorder="1" applyAlignment="1" applyProtection="1">
      <alignment horizontal="left" vertical="top" wrapText="1"/>
      <protection hidden="1"/>
    </xf>
    <xf numFmtId="0" fontId="0" fillId="3" borderId="17" xfId="0" applyFill="1" applyBorder="1" applyAlignment="1" applyProtection="1">
      <alignment horizontal="left" vertical="top" wrapText="1"/>
      <protection hidden="1"/>
    </xf>
    <xf numFmtId="0" fontId="4" fillId="3" borderId="16"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17" xfId="0" applyFont="1" applyFill="1" applyBorder="1" applyAlignment="1" applyProtection="1">
      <alignment horizontal="left" vertical="top" wrapText="1"/>
      <protection hidden="1"/>
    </xf>
    <xf numFmtId="0" fontId="4" fillId="3" borderId="20" xfId="0" applyFont="1" applyFill="1" applyBorder="1" applyAlignment="1" applyProtection="1">
      <alignment horizontal="left" vertical="top" wrapText="1"/>
      <protection hidden="1"/>
    </xf>
    <xf numFmtId="0" fontId="4" fillId="3" borderId="27" xfId="0" applyFont="1" applyFill="1" applyBorder="1" applyAlignment="1" applyProtection="1">
      <alignment horizontal="left" vertical="top" wrapText="1"/>
      <protection hidden="1"/>
    </xf>
    <xf numFmtId="0" fontId="4" fillId="3" borderId="21" xfId="0" applyFont="1" applyFill="1" applyBorder="1" applyAlignment="1" applyProtection="1">
      <alignment horizontal="left" vertical="top" wrapText="1"/>
      <protection hidden="1"/>
    </xf>
    <xf numFmtId="0" fontId="11" fillId="3" borderId="8"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1" fillId="3" borderId="10"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cellXfs>
  <cellStyles count="4">
    <cellStyle name="Comma" xfId="1" builtinId="3"/>
    <cellStyle name="Currency" xfId="2" builtinId="4"/>
    <cellStyle name="Normal" xfId="0" builtinId="0"/>
    <cellStyle name="Percent" xfId="3" builtinId="5"/>
  </cellStyles>
  <dxfs count="12">
    <dxf>
      <numFmt numFmtId="13" formatCode="0%"/>
    </dxf>
    <dxf>
      <numFmt numFmtId="3" formatCode="#,##0"/>
    </dxf>
    <dxf>
      <numFmt numFmtId="164" formatCode="&quot;$&quot;#,##0.00"/>
    </dxf>
    <dxf>
      <numFmt numFmtId="3" formatCode="#,##0"/>
    </dxf>
    <dxf>
      <numFmt numFmtId="13" formatCode="0%"/>
    </dxf>
    <dxf>
      <numFmt numFmtId="11" formatCode="&quot;$&quot;#,##0.00_);\(&quot;$&quot;#,##0.00\)"/>
    </dxf>
    <dxf>
      <numFmt numFmtId="168" formatCode="0\%"/>
    </dxf>
    <dxf>
      <numFmt numFmtId="3" formatCode="#,##0"/>
    </dxf>
    <dxf>
      <numFmt numFmtId="164" formatCode="&quot;$&quot;#,##0.00"/>
    </dxf>
    <dxf>
      <numFmt numFmtId="3" formatCode="#,##0"/>
    </dxf>
    <dxf>
      <numFmt numFmtId="168" formatCode="0\%"/>
    </dxf>
    <dxf>
      <numFmt numFmtId="11" formatCode="&quot;$&quot;#,##0.00_);\(&quot;$&quot;#,##0.00\)"/>
    </dxf>
  </dxfs>
  <tableStyles count="0" defaultTableStyle="TableStyleMedium2" defaultPivotStyle="PivotStyleLight16"/>
  <colors>
    <mruColors>
      <color rgb="FF183B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900993</xdr:colOff>
      <xdr:row>1</xdr:row>
      <xdr:rowOff>23989</xdr:rowOff>
    </xdr:from>
    <xdr:to>
      <xdr:col>5</xdr:col>
      <xdr:colOff>2780058</xdr:colOff>
      <xdr:row>1</xdr:row>
      <xdr:rowOff>1090789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3549" y="66322"/>
          <a:ext cx="3600620"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2333625</xdr:colOff>
      <xdr:row>1</xdr:row>
      <xdr:rowOff>47625</xdr:rowOff>
    </xdr:from>
    <xdr:to>
      <xdr:col>5</xdr:col>
      <xdr:colOff>1933745</xdr:colOff>
      <xdr:row>1</xdr:row>
      <xdr:rowOff>1114425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8650" y="95250"/>
          <a:ext cx="360062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C56F-8290-4867-B518-B571C78A8060}">
  <sheetPr codeName="Sheet4"/>
  <dimension ref="B1:F156"/>
  <sheetViews>
    <sheetView tabSelected="1" zoomScaleNormal="100" workbookViewId="0">
      <selection activeCell="C4" sqref="C4:E55"/>
    </sheetView>
  </sheetViews>
  <sheetFormatPr baseColWidth="10" defaultColWidth="9.1640625" defaultRowHeight="15"/>
  <cols>
    <col min="1" max="1" width="0.6640625" style="26" customWidth="1"/>
    <col min="2" max="2" width="11.5" style="26" customWidth="1"/>
    <col min="3" max="3" width="77.83203125" style="26" customWidth="1"/>
    <col min="4" max="4" width="37.5" style="26" customWidth="1"/>
    <col min="5" max="5" width="22.5" style="26" customWidth="1"/>
    <col min="6" max="6" width="39.6640625" style="26" customWidth="1"/>
    <col min="7" max="7" width="9.1640625" style="26" customWidth="1"/>
    <col min="8" max="16384" width="9.1640625" style="26"/>
  </cols>
  <sheetData>
    <row r="1" spans="2:6" ht="3.75" customHeight="1" thickBot="1"/>
    <row r="2" spans="2:6" ht="89.25" customHeight="1" thickBot="1">
      <c r="B2" s="50" t="s">
        <v>144</v>
      </c>
      <c r="C2" s="51"/>
      <c r="D2" s="51"/>
      <c r="E2" s="51"/>
      <c r="F2" s="52"/>
    </row>
    <row r="3" spans="2:6" ht="16" thickBot="1"/>
    <row r="4" spans="2:6" ht="15" customHeight="1">
      <c r="B4" s="42"/>
      <c r="C4" s="53" t="s">
        <v>151</v>
      </c>
      <c r="D4" s="54"/>
      <c r="E4" s="55"/>
      <c r="F4" s="43"/>
    </row>
    <row r="5" spans="2:6">
      <c r="B5" s="43"/>
      <c r="C5" s="56"/>
      <c r="D5" s="57"/>
      <c r="E5" s="58"/>
      <c r="F5" s="43"/>
    </row>
    <row r="6" spans="2:6">
      <c r="B6" s="43"/>
      <c r="C6" s="56"/>
      <c r="D6" s="57"/>
      <c r="E6" s="58"/>
      <c r="F6" s="43"/>
    </row>
    <row r="7" spans="2:6">
      <c r="B7" s="43"/>
      <c r="C7" s="56"/>
      <c r="D7" s="57"/>
      <c r="E7" s="58"/>
      <c r="F7" s="43"/>
    </row>
    <row r="8" spans="2:6">
      <c r="B8" s="43"/>
      <c r="C8" s="56"/>
      <c r="D8" s="57"/>
      <c r="E8" s="58"/>
      <c r="F8" s="43"/>
    </row>
    <row r="9" spans="2:6">
      <c r="B9" s="43"/>
      <c r="C9" s="56"/>
      <c r="D9" s="57"/>
      <c r="E9" s="58"/>
      <c r="F9" s="43"/>
    </row>
    <row r="10" spans="2:6">
      <c r="B10" s="43"/>
      <c r="C10" s="56"/>
      <c r="D10" s="57"/>
      <c r="E10" s="58"/>
      <c r="F10" s="43"/>
    </row>
    <row r="11" spans="2:6">
      <c r="B11" s="43"/>
      <c r="C11" s="56"/>
      <c r="D11" s="57"/>
      <c r="E11" s="58"/>
      <c r="F11" s="43"/>
    </row>
    <row r="12" spans="2:6">
      <c r="B12" s="43"/>
      <c r="C12" s="56"/>
      <c r="D12" s="57"/>
      <c r="E12" s="58"/>
      <c r="F12" s="43"/>
    </row>
    <row r="13" spans="2:6">
      <c r="B13" s="43"/>
      <c r="C13" s="56"/>
      <c r="D13" s="57"/>
      <c r="E13" s="58"/>
      <c r="F13" s="43"/>
    </row>
    <row r="14" spans="2:6">
      <c r="B14" s="43"/>
      <c r="C14" s="56"/>
      <c r="D14" s="57"/>
      <c r="E14" s="58"/>
      <c r="F14" s="43"/>
    </row>
    <row r="15" spans="2:6">
      <c r="B15" s="43"/>
      <c r="C15" s="56"/>
      <c r="D15" s="57"/>
      <c r="E15" s="58"/>
      <c r="F15" s="43"/>
    </row>
    <row r="16" spans="2:6">
      <c r="B16" s="43"/>
      <c r="C16" s="56"/>
      <c r="D16" s="57"/>
      <c r="E16" s="58"/>
      <c r="F16" s="43"/>
    </row>
    <row r="17" spans="2:6">
      <c r="B17" s="43"/>
      <c r="C17" s="56"/>
      <c r="D17" s="57"/>
      <c r="E17" s="58"/>
      <c r="F17" s="43"/>
    </row>
    <row r="18" spans="2:6">
      <c r="B18" s="43"/>
      <c r="C18" s="56"/>
      <c r="D18" s="57"/>
      <c r="E18" s="58"/>
      <c r="F18" s="43"/>
    </row>
    <row r="19" spans="2:6">
      <c r="B19" s="43"/>
      <c r="C19" s="56"/>
      <c r="D19" s="57"/>
      <c r="E19" s="58"/>
      <c r="F19" s="43"/>
    </row>
    <row r="20" spans="2:6">
      <c r="B20" s="43"/>
      <c r="C20" s="56"/>
      <c r="D20" s="57"/>
      <c r="E20" s="58"/>
      <c r="F20" s="43"/>
    </row>
    <row r="21" spans="2:6">
      <c r="B21" s="43"/>
      <c r="C21" s="56"/>
      <c r="D21" s="57"/>
      <c r="E21" s="58"/>
      <c r="F21" s="43"/>
    </row>
    <row r="22" spans="2:6">
      <c r="B22" s="43"/>
      <c r="C22" s="56"/>
      <c r="D22" s="57"/>
      <c r="E22" s="58"/>
      <c r="F22" s="43"/>
    </row>
    <row r="23" spans="2:6">
      <c r="B23" s="43"/>
      <c r="C23" s="56"/>
      <c r="D23" s="57"/>
      <c r="E23" s="58"/>
      <c r="F23" s="43"/>
    </row>
    <row r="24" spans="2:6">
      <c r="B24" s="43"/>
      <c r="C24" s="56"/>
      <c r="D24" s="57"/>
      <c r="E24" s="58"/>
      <c r="F24" s="43"/>
    </row>
    <row r="25" spans="2:6">
      <c r="B25" s="43"/>
      <c r="C25" s="56"/>
      <c r="D25" s="57"/>
      <c r="E25" s="58"/>
      <c r="F25" s="43"/>
    </row>
    <row r="26" spans="2:6">
      <c r="B26" s="43"/>
      <c r="C26" s="56"/>
      <c r="D26" s="57"/>
      <c r="E26" s="58"/>
      <c r="F26" s="43"/>
    </row>
    <row r="27" spans="2:6">
      <c r="B27" s="43"/>
      <c r="C27" s="56"/>
      <c r="D27" s="57"/>
      <c r="E27" s="58"/>
      <c r="F27" s="43"/>
    </row>
    <row r="28" spans="2:6">
      <c r="B28" s="43"/>
      <c r="C28" s="56"/>
      <c r="D28" s="57"/>
      <c r="E28" s="58"/>
      <c r="F28" s="43"/>
    </row>
    <row r="29" spans="2:6">
      <c r="B29" s="43"/>
      <c r="C29" s="56"/>
      <c r="D29" s="57"/>
      <c r="E29" s="58"/>
      <c r="F29" s="43"/>
    </row>
    <row r="30" spans="2:6">
      <c r="B30" s="43"/>
      <c r="C30" s="56"/>
      <c r="D30" s="57"/>
      <c r="E30" s="58"/>
      <c r="F30" s="43"/>
    </row>
    <row r="31" spans="2:6">
      <c r="B31" s="43"/>
      <c r="C31" s="56"/>
      <c r="D31" s="57"/>
      <c r="E31" s="58"/>
      <c r="F31" s="43"/>
    </row>
    <row r="32" spans="2:6">
      <c r="B32" s="43"/>
      <c r="C32" s="56"/>
      <c r="D32" s="57"/>
      <c r="E32" s="58"/>
      <c r="F32" s="43"/>
    </row>
    <row r="33" spans="2:6">
      <c r="B33" s="43"/>
      <c r="C33" s="56"/>
      <c r="D33" s="57"/>
      <c r="E33" s="58"/>
      <c r="F33" s="43"/>
    </row>
    <row r="34" spans="2:6">
      <c r="B34" s="43"/>
      <c r="C34" s="56"/>
      <c r="D34" s="57"/>
      <c r="E34" s="58"/>
      <c r="F34" s="43"/>
    </row>
    <row r="35" spans="2:6">
      <c r="B35" s="43"/>
      <c r="C35" s="56"/>
      <c r="D35" s="57"/>
      <c r="E35" s="58"/>
      <c r="F35" s="43"/>
    </row>
    <row r="36" spans="2:6">
      <c r="B36" s="43"/>
      <c r="C36" s="56"/>
      <c r="D36" s="57"/>
      <c r="E36" s="58"/>
      <c r="F36" s="43"/>
    </row>
    <row r="37" spans="2:6">
      <c r="B37" s="43"/>
      <c r="C37" s="56"/>
      <c r="D37" s="57"/>
      <c r="E37" s="58"/>
      <c r="F37" s="43"/>
    </row>
    <row r="38" spans="2:6">
      <c r="B38" s="43"/>
      <c r="C38" s="56"/>
      <c r="D38" s="57"/>
      <c r="E38" s="58"/>
      <c r="F38" s="43"/>
    </row>
    <row r="39" spans="2:6">
      <c r="B39" s="43"/>
      <c r="C39" s="56"/>
      <c r="D39" s="57"/>
      <c r="E39" s="58"/>
      <c r="F39" s="43"/>
    </row>
    <row r="40" spans="2:6">
      <c r="B40" s="43"/>
      <c r="C40" s="56"/>
      <c r="D40" s="57"/>
      <c r="E40" s="58"/>
      <c r="F40" s="43"/>
    </row>
    <row r="41" spans="2:6">
      <c r="B41" s="43"/>
      <c r="C41" s="56"/>
      <c r="D41" s="57"/>
      <c r="E41" s="58"/>
      <c r="F41" s="43"/>
    </row>
    <row r="42" spans="2:6">
      <c r="B42" s="43"/>
      <c r="C42" s="56"/>
      <c r="D42" s="57"/>
      <c r="E42" s="58"/>
      <c r="F42" s="43"/>
    </row>
    <row r="43" spans="2:6">
      <c r="B43" s="43"/>
      <c r="C43" s="56"/>
      <c r="D43" s="57"/>
      <c r="E43" s="58"/>
      <c r="F43" s="43"/>
    </row>
    <row r="44" spans="2:6">
      <c r="B44" s="43"/>
      <c r="C44" s="56"/>
      <c r="D44" s="57"/>
      <c r="E44" s="58"/>
      <c r="F44" s="43"/>
    </row>
    <row r="45" spans="2:6">
      <c r="B45" s="43"/>
      <c r="C45" s="56"/>
      <c r="D45" s="57"/>
      <c r="E45" s="58"/>
      <c r="F45" s="43"/>
    </row>
    <row r="46" spans="2:6">
      <c r="B46" s="43"/>
      <c r="C46" s="56"/>
      <c r="D46" s="57"/>
      <c r="E46" s="58"/>
      <c r="F46" s="43"/>
    </row>
    <row r="47" spans="2:6">
      <c r="B47" s="43"/>
      <c r="C47" s="56"/>
      <c r="D47" s="57"/>
      <c r="E47" s="58"/>
      <c r="F47" s="43"/>
    </row>
    <row r="48" spans="2:6">
      <c r="B48" s="43"/>
      <c r="C48" s="56"/>
      <c r="D48" s="57"/>
      <c r="E48" s="58"/>
      <c r="F48" s="43"/>
    </row>
    <row r="49" spans="2:6">
      <c r="B49" s="43"/>
      <c r="C49" s="56"/>
      <c r="D49" s="57"/>
      <c r="E49" s="58"/>
      <c r="F49" s="43"/>
    </row>
    <row r="50" spans="2:6">
      <c r="B50" s="43"/>
      <c r="C50" s="56"/>
      <c r="D50" s="57"/>
      <c r="E50" s="58"/>
      <c r="F50" s="43"/>
    </row>
    <row r="51" spans="2:6">
      <c r="B51" s="43"/>
      <c r="C51" s="56"/>
      <c r="D51" s="57"/>
      <c r="E51" s="58"/>
      <c r="F51" s="43"/>
    </row>
    <row r="52" spans="2:6">
      <c r="B52" s="43"/>
      <c r="C52" s="56"/>
      <c r="D52" s="57"/>
      <c r="E52" s="58"/>
      <c r="F52" s="43"/>
    </row>
    <row r="53" spans="2:6">
      <c r="B53" s="43"/>
      <c r="C53" s="56"/>
      <c r="D53" s="57"/>
      <c r="E53" s="58"/>
      <c r="F53" s="43"/>
    </row>
    <row r="54" spans="2:6">
      <c r="B54" s="43"/>
      <c r="C54" s="56"/>
      <c r="D54" s="57"/>
      <c r="E54" s="58"/>
      <c r="F54" s="43"/>
    </row>
    <row r="55" spans="2:6">
      <c r="B55" s="43"/>
      <c r="C55" s="56"/>
      <c r="D55" s="57"/>
      <c r="E55" s="58"/>
      <c r="F55" s="43"/>
    </row>
    <row r="56" spans="2:6" ht="15" customHeight="1">
      <c r="B56" s="43"/>
      <c r="C56" s="59" t="s">
        <v>145</v>
      </c>
      <c r="D56" s="60"/>
      <c r="E56" s="61"/>
      <c r="F56" s="43"/>
    </row>
    <row r="57" spans="2:6">
      <c r="B57" s="43"/>
      <c r="C57" s="59"/>
      <c r="D57" s="60"/>
      <c r="E57" s="61"/>
      <c r="F57" s="43"/>
    </row>
    <row r="58" spans="2:6">
      <c r="B58" s="43"/>
      <c r="C58" s="59"/>
      <c r="D58" s="60"/>
      <c r="E58" s="61"/>
      <c r="F58" s="43"/>
    </row>
    <row r="59" spans="2:6">
      <c r="B59" s="43"/>
      <c r="C59" s="59"/>
      <c r="D59" s="60"/>
      <c r="E59" s="61"/>
      <c r="F59" s="43"/>
    </row>
    <row r="60" spans="2:6">
      <c r="B60" s="43"/>
      <c r="C60" s="59"/>
      <c r="D60" s="60"/>
      <c r="E60" s="61"/>
      <c r="F60" s="43"/>
    </row>
    <row r="61" spans="2:6" ht="15" customHeight="1">
      <c r="B61" s="43"/>
      <c r="C61" s="59"/>
      <c r="D61" s="60"/>
      <c r="E61" s="61"/>
      <c r="F61" s="43"/>
    </row>
    <row r="62" spans="2:6">
      <c r="B62" s="43"/>
      <c r="C62" s="59"/>
      <c r="D62" s="60"/>
      <c r="E62" s="61"/>
      <c r="F62" s="43"/>
    </row>
    <row r="63" spans="2:6">
      <c r="B63" s="43"/>
      <c r="C63" s="59"/>
      <c r="D63" s="60"/>
      <c r="E63" s="61"/>
      <c r="F63" s="43"/>
    </row>
    <row r="64" spans="2:6">
      <c r="B64" s="43"/>
      <c r="C64" s="59"/>
      <c r="D64" s="60"/>
      <c r="E64" s="61"/>
      <c r="F64" s="43"/>
    </row>
    <row r="65" spans="2:6">
      <c r="B65" s="43"/>
      <c r="C65" s="59"/>
      <c r="D65" s="60"/>
      <c r="E65" s="61"/>
      <c r="F65" s="43"/>
    </row>
    <row r="66" spans="2:6">
      <c r="B66" s="43"/>
      <c r="C66" s="59"/>
      <c r="D66" s="60"/>
      <c r="E66" s="61"/>
      <c r="F66" s="43"/>
    </row>
    <row r="67" spans="2:6">
      <c r="B67" s="43"/>
      <c r="C67" s="59"/>
      <c r="D67" s="60"/>
      <c r="E67" s="61"/>
      <c r="F67" s="43"/>
    </row>
    <row r="68" spans="2:6">
      <c r="B68" s="43"/>
      <c r="C68" s="59"/>
      <c r="D68" s="60"/>
      <c r="E68" s="61"/>
      <c r="F68" s="43"/>
    </row>
    <row r="69" spans="2:6">
      <c r="B69" s="43"/>
      <c r="C69" s="59"/>
      <c r="D69" s="60"/>
      <c r="E69" s="61"/>
      <c r="F69" s="43"/>
    </row>
    <row r="70" spans="2:6">
      <c r="B70" s="43"/>
      <c r="C70" s="59"/>
      <c r="D70" s="60"/>
      <c r="E70" s="61"/>
      <c r="F70" s="43"/>
    </row>
    <row r="71" spans="2:6">
      <c r="B71" s="43"/>
      <c r="C71" s="59"/>
      <c r="D71" s="60"/>
      <c r="E71" s="61"/>
      <c r="F71" s="43"/>
    </row>
    <row r="72" spans="2:6">
      <c r="B72" s="43"/>
      <c r="C72" s="59"/>
      <c r="D72" s="60"/>
      <c r="E72" s="61"/>
      <c r="F72" s="43"/>
    </row>
    <row r="73" spans="2:6">
      <c r="B73" s="43"/>
      <c r="C73" s="59"/>
      <c r="D73" s="60"/>
      <c r="E73" s="61"/>
      <c r="F73" s="43"/>
    </row>
    <row r="74" spans="2:6">
      <c r="B74" s="43"/>
      <c r="C74" s="59"/>
      <c r="D74" s="60"/>
      <c r="E74" s="61"/>
      <c r="F74" s="43"/>
    </row>
    <row r="75" spans="2:6">
      <c r="B75" s="43"/>
      <c r="C75" s="59"/>
      <c r="D75" s="60"/>
      <c r="E75" s="61"/>
      <c r="F75" s="43"/>
    </row>
    <row r="76" spans="2:6">
      <c r="B76" s="43"/>
      <c r="C76" s="59"/>
      <c r="D76" s="60"/>
      <c r="E76" s="61"/>
      <c r="F76" s="43"/>
    </row>
    <row r="77" spans="2:6">
      <c r="B77" s="43"/>
      <c r="C77" s="59"/>
      <c r="D77" s="60"/>
      <c r="E77" s="61"/>
      <c r="F77" s="43"/>
    </row>
    <row r="78" spans="2:6">
      <c r="B78" s="43"/>
      <c r="C78" s="59"/>
      <c r="D78" s="60"/>
      <c r="E78" s="61"/>
      <c r="F78" s="43"/>
    </row>
    <row r="79" spans="2:6">
      <c r="B79" s="43"/>
      <c r="C79" s="59"/>
      <c r="D79" s="60"/>
      <c r="E79" s="61"/>
      <c r="F79" s="43"/>
    </row>
    <row r="80" spans="2:6">
      <c r="B80" s="43"/>
      <c r="C80" s="59"/>
      <c r="D80" s="60"/>
      <c r="E80" s="61"/>
      <c r="F80" s="43"/>
    </row>
    <row r="81" spans="2:6">
      <c r="B81" s="43"/>
      <c r="C81" s="59"/>
      <c r="D81" s="60"/>
      <c r="E81" s="61"/>
      <c r="F81" s="43"/>
    </row>
    <row r="82" spans="2:6" ht="17" customHeight="1">
      <c r="B82" s="43"/>
      <c r="C82" s="59"/>
      <c r="D82" s="60"/>
      <c r="E82" s="61"/>
      <c r="F82" s="43"/>
    </row>
    <row r="83" spans="2:6">
      <c r="B83" s="43"/>
      <c r="C83" s="59"/>
      <c r="D83" s="60"/>
      <c r="E83" s="61"/>
      <c r="F83" s="43"/>
    </row>
    <row r="84" spans="2:6">
      <c r="B84" s="43"/>
      <c r="C84" s="59"/>
      <c r="D84" s="60"/>
      <c r="E84" s="61"/>
      <c r="F84" s="43"/>
    </row>
    <row r="85" spans="2:6">
      <c r="B85" s="43"/>
      <c r="C85" s="59"/>
      <c r="D85" s="60"/>
      <c r="E85" s="61"/>
      <c r="F85" s="43"/>
    </row>
    <row r="86" spans="2:6">
      <c r="B86" s="43"/>
      <c r="C86" s="59"/>
      <c r="D86" s="60"/>
      <c r="E86" s="61"/>
      <c r="F86" s="43"/>
    </row>
    <row r="87" spans="2:6">
      <c r="B87" s="43"/>
      <c r="C87" s="59"/>
      <c r="D87" s="60"/>
      <c r="E87" s="61"/>
      <c r="F87" s="43"/>
    </row>
    <row r="88" spans="2:6">
      <c r="B88" s="43"/>
      <c r="C88" s="59"/>
      <c r="D88" s="60"/>
      <c r="E88" s="61"/>
      <c r="F88" s="43"/>
    </row>
    <row r="89" spans="2:6">
      <c r="B89" s="43"/>
      <c r="C89" s="59"/>
      <c r="D89" s="60"/>
      <c r="E89" s="61"/>
      <c r="F89" s="43"/>
    </row>
    <row r="90" spans="2:6">
      <c r="B90" s="43"/>
      <c r="C90" s="59"/>
      <c r="D90" s="60"/>
      <c r="E90" s="61"/>
      <c r="F90" s="43"/>
    </row>
    <row r="91" spans="2:6" ht="15" customHeight="1">
      <c r="C91" s="59" t="s">
        <v>146</v>
      </c>
      <c r="D91" s="60"/>
      <c r="E91" s="61"/>
    </row>
    <row r="92" spans="2:6">
      <c r="C92" s="59"/>
      <c r="D92" s="60"/>
      <c r="E92" s="61"/>
    </row>
    <row r="93" spans="2:6">
      <c r="C93" s="59"/>
      <c r="D93" s="60"/>
      <c r="E93" s="61"/>
    </row>
    <row r="94" spans="2:6">
      <c r="C94" s="59"/>
      <c r="D94" s="60"/>
      <c r="E94" s="61"/>
    </row>
    <row r="95" spans="2:6">
      <c r="C95" s="59"/>
      <c r="D95" s="60"/>
      <c r="E95" s="61"/>
    </row>
    <row r="96" spans="2:6">
      <c r="C96" s="59"/>
      <c r="D96" s="60"/>
      <c r="E96" s="61"/>
    </row>
    <row r="97" spans="3:5">
      <c r="C97" s="59"/>
      <c r="D97" s="60"/>
      <c r="E97" s="61"/>
    </row>
    <row r="98" spans="3:5" ht="15" customHeight="1">
      <c r="C98" s="59"/>
      <c r="D98" s="60"/>
      <c r="E98" s="61"/>
    </row>
    <row r="99" spans="3:5">
      <c r="C99" s="59"/>
      <c r="D99" s="60"/>
      <c r="E99" s="61"/>
    </row>
    <row r="100" spans="3:5">
      <c r="C100" s="59"/>
      <c r="D100" s="60"/>
      <c r="E100" s="61"/>
    </row>
    <row r="101" spans="3:5">
      <c r="C101" s="59"/>
      <c r="D101" s="60"/>
      <c r="E101" s="61"/>
    </row>
    <row r="102" spans="3:5">
      <c r="C102" s="59"/>
      <c r="D102" s="60"/>
      <c r="E102" s="61"/>
    </row>
    <row r="103" spans="3:5">
      <c r="C103" s="59"/>
      <c r="D103" s="60"/>
      <c r="E103" s="61"/>
    </row>
    <row r="104" spans="3:5">
      <c r="C104" s="59"/>
      <c r="D104" s="60"/>
      <c r="E104" s="61"/>
    </row>
    <row r="105" spans="3:5">
      <c r="C105" s="59"/>
      <c r="D105" s="60"/>
      <c r="E105" s="61"/>
    </row>
    <row r="106" spans="3:5">
      <c r="C106" s="59"/>
      <c r="D106" s="60"/>
      <c r="E106" s="61"/>
    </row>
    <row r="107" spans="3:5">
      <c r="C107" s="59"/>
      <c r="D107" s="60"/>
      <c r="E107" s="61"/>
    </row>
    <row r="108" spans="3:5">
      <c r="C108" s="59"/>
      <c r="D108" s="60"/>
      <c r="E108" s="61"/>
    </row>
    <row r="109" spans="3:5">
      <c r="C109" s="59"/>
      <c r="D109" s="60"/>
      <c r="E109" s="61"/>
    </row>
    <row r="110" spans="3:5">
      <c r="C110" s="59"/>
      <c r="D110" s="60"/>
      <c r="E110" s="61"/>
    </row>
    <row r="111" spans="3:5">
      <c r="C111" s="59"/>
      <c r="D111" s="60"/>
      <c r="E111" s="61"/>
    </row>
    <row r="112" spans="3:5">
      <c r="C112" s="59"/>
      <c r="D112" s="60"/>
      <c r="E112" s="61"/>
    </row>
    <row r="113" spans="3:5">
      <c r="C113" s="59"/>
      <c r="D113" s="60"/>
      <c r="E113" s="61"/>
    </row>
    <row r="114" spans="3:5">
      <c r="C114" s="59"/>
      <c r="D114" s="60"/>
      <c r="E114" s="61"/>
    </row>
    <row r="115" spans="3:5">
      <c r="C115" s="59"/>
      <c r="D115" s="60"/>
      <c r="E115" s="61"/>
    </row>
    <row r="116" spans="3:5">
      <c r="C116" s="59"/>
      <c r="D116" s="60"/>
      <c r="E116" s="61"/>
    </row>
    <row r="117" spans="3:5">
      <c r="C117" s="59"/>
      <c r="D117" s="60"/>
      <c r="E117" s="61"/>
    </row>
    <row r="118" spans="3:5">
      <c r="C118" s="59"/>
      <c r="D118" s="60"/>
      <c r="E118" s="61"/>
    </row>
    <row r="119" spans="3:5">
      <c r="C119" s="59"/>
      <c r="D119" s="60"/>
      <c r="E119" s="61"/>
    </row>
    <row r="120" spans="3:5">
      <c r="C120" s="59"/>
      <c r="D120" s="60"/>
      <c r="E120" s="61"/>
    </row>
    <row r="121" spans="3:5">
      <c r="C121" s="59"/>
      <c r="D121" s="60"/>
      <c r="E121" s="61"/>
    </row>
    <row r="122" spans="3:5" ht="16" thickBot="1">
      <c r="C122" s="62"/>
      <c r="D122" s="63"/>
      <c r="E122" s="64"/>
    </row>
    <row r="123" spans="3:5">
      <c r="C123" s="49"/>
      <c r="D123" s="49"/>
      <c r="E123" s="49"/>
    </row>
    <row r="124" spans="3:5">
      <c r="C124" s="49"/>
      <c r="D124" s="49"/>
      <c r="E124" s="49"/>
    </row>
    <row r="125" spans="3:5">
      <c r="C125" s="49"/>
      <c r="D125" s="49"/>
      <c r="E125" s="49"/>
    </row>
    <row r="126" spans="3:5">
      <c r="C126" s="49"/>
      <c r="D126" s="49"/>
      <c r="E126" s="49"/>
    </row>
    <row r="127" spans="3:5">
      <c r="C127" s="49"/>
      <c r="D127" s="49"/>
      <c r="E127" s="49"/>
    </row>
    <row r="128" spans="3:5">
      <c r="C128" s="49"/>
      <c r="D128" s="49"/>
      <c r="E128" s="49"/>
    </row>
    <row r="129" spans="3:5">
      <c r="C129" s="49"/>
      <c r="D129" s="49"/>
      <c r="E129" s="49"/>
    </row>
    <row r="137" spans="3:5">
      <c r="C137" s="44"/>
      <c r="D137" s="44"/>
      <c r="E137" s="44"/>
    </row>
    <row r="138" spans="3:5">
      <c r="C138" s="44"/>
      <c r="D138" s="44"/>
      <c r="E138" s="44"/>
    </row>
    <row r="139" spans="3:5">
      <c r="C139" s="44"/>
      <c r="D139" s="44"/>
      <c r="E139" s="44"/>
    </row>
    <row r="140" spans="3:5">
      <c r="C140" s="44"/>
      <c r="D140" s="44"/>
      <c r="E140" s="44"/>
    </row>
    <row r="141" spans="3:5">
      <c r="C141" s="44"/>
      <c r="D141" s="44"/>
      <c r="E141" s="44"/>
    </row>
    <row r="142" spans="3:5">
      <c r="C142" s="44"/>
      <c r="D142" s="44"/>
      <c r="E142" s="44"/>
    </row>
    <row r="143" spans="3:5">
      <c r="C143" s="44"/>
      <c r="D143" s="44"/>
      <c r="E143" s="44"/>
    </row>
    <row r="144" spans="3:5">
      <c r="C144" s="44"/>
      <c r="D144" s="44"/>
      <c r="E144" s="44"/>
    </row>
    <row r="145" spans="3:5">
      <c r="C145" s="44"/>
      <c r="D145" s="44"/>
      <c r="E145" s="44"/>
    </row>
    <row r="146" spans="3:5">
      <c r="C146" s="44"/>
      <c r="D146" s="44"/>
      <c r="E146" s="44"/>
    </row>
    <row r="147" spans="3:5">
      <c r="C147" s="44"/>
      <c r="D147" s="44"/>
      <c r="E147" s="44"/>
    </row>
    <row r="148" spans="3:5">
      <c r="C148" s="44"/>
      <c r="D148" s="44"/>
      <c r="E148" s="44"/>
    </row>
    <row r="149" spans="3:5">
      <c r="C149" s="44"/>
      <c r="D149" s="44"/>
      <c r="E149" s="44"/>
    </row>
    <row r="150" spans="3:5">
      <c r="C150" s="44"/>
      <c r="D150" s="44"/>
      <c r="E150" s="44"/>
    </row>
    <row r="151" spans="3:5">
      <c r="C151" s="44"/>
      <c r="D151" s="44"/>
      <c r="E151" s="44"/>
    </row>
    <row r="152" spans="3:5">
      <c r="C152" s="44"/>
      <c r="D152" s="44"/>
      <c r="E152" s="44"/>
    </row>
    <row r="153" spans="3:5">
      <c r="C153" s="44"/>
      <c r="D153" s="44"/>
      <c r="E153" s="44"/>
    </row>
    <row r="154" spans="3:5">
      <c r="C154" s="44"/>
      <c r="D154" s="44"/>
      <c r="E154" s="44"/>
    </row>
    <row r="155" spans="3:5">
      <c r="C155" s="44"/>
      <c r="D155" s="44"/>
      <c r="E155" s="44"/>
    </row>
    <row r="156" spans="3:5">
      <c r="C156" s="44"/>
      <c r="D156" s="44"/>
      <c r="E156" s="44"/>
    </row>
  </sheetData>
  <sheetProtection algorithmName="SHA-512" hashValue="MtMDeEdTyB0EmQ62N2LLWmSS4vVlBayuIq8otpnntmCppGaipKPk87Lnqi5v/ngy7b2mcH+T3SjM+/YwfSMX/g==" saltValue="P5BE1gN3otvY5fooBUz21A==" spinCount="100000" sheet="1" objects="1" scenarios="1"/>
  <mergeCells count="4">
    <mergeCell ref="C91:E122"/>
    <mergeCell ref="B2:F2"/>
    <mergeCell ref="C4:E55"/>
    <mergeCell ref="C56:E9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B1:F42"/>
  <sheetViews>
    <sheetView zoomScaleNormal="100" workbookViewId="0">
      <selection activeCell="D7" sqref="D7"/>
    </sheetView>
  </sheetViews>
  <sheetFormatPr baseColWidth="10" defaultColWidth="9.1640625" defaultRowHeight="15"/>
  <cols>
    <col min="1" max="1" width="0.6640625" style="26" customWidth="1"/>
    <col min="2" max="2" width="11.5" style="26" customWidth="1"/>
    <col min="3" max="3" width="77.83203125" style="26" customWidth="1"/>
    <col min="4" max="4" width="37.5" style="26" customWidth="1"/>
    <col min="5" max="5" width="22.5" style="26" customWidth="1"/>
    <col min="6" max="6" width="61.5" style="26" customWidth="1"/>
    <col min="7" max="7" width="9.1640625" style="26" customWidth="1"/>
    <col min="8" max="16384" width="9.1640625" style="26"/>
  </cols>
  <sheetData>
    <row r="1" spans="2:6" ht="3.75" customHeight="1" thickBot="1"/>
    <row r="2" spans="2:6" ht="89.25" customHeight="1" thickBot="1">
      <c r="B2" s="50" t="s">
        <v>131</v>
      </c>
      <c r="C2" s="51"/>
      <c r="D2" s="51"/>
      <c r="E2" s="51"/>
      <c r="F2" s="52"/>
    </row>
    <row r="4" spans="2:6" ht="63.75" customHeight="1">
      <c r="B4" s="65" t="s">
        <v>150</v>
      </c>
      <c r="C4" s="66"/>
      <c r="D4" s="66"/>
      <c r="E4" s="66"/>
      <c r="F4" s="67"/>
    </row>
    <row r="6" spans="2:6" ht="16">
      <c r="B6" s="39" t="s">
        <v>76</v>
      </c>
      <c r="C6" s="40" t="s">
        <v>133</v>
      </c>
      <c r="D6" s="40" t="s">
        <v>132</v>
      </c>
      <c r="E6" s="40" t="s">
        <v>75</v>
      </c>
      <c r="F6" s="41" t="s">
        <v>109</v>
      </c>
    </row>
    <row r="7" spans="2:6" ht="30" customHeight="1">
      <c r="B7" s="38">
        <v>1</v>
      </c>
      <c r="C7" s="36" t="s">
        <v>136</v>
      </c>
      <c r="D7" s="25" t="s">
        <v>134</v>
      </c>
      <c r="E7" s="36"/>
      <c r="F7" s="37"/>
    </row>
    <row r="8" spans="2:6" ht="30" customHeight="1">
      <c r="B8" s="38" t="str">
        <f>IF($D$7='Back end calculations'!$Q$3,"",B7+1)</f>
        <v/>
      </c>
      <c r="C8" s="36" t="str">
        <f>IF($D$7='Back end calculations'!$Q$3,"",IF('Payback Calculator'!$D$7='Back end calculations'!$Q$4,VLOOKUP(B8,'Back end calculations'!$B$2:$S$34,2,FALSE),VLOOKUP(B8,'Back end calculations'!$B$2:$S$34,9,FALSE)))</f>
        <v/>
      </c>
      <c r="D8" s="22"/>
      <c r="E8" s="36" t="str">
        <f>IF($D$7='Back end calculations'!$Q$3,"",IF('Payback Calculator'!$D$7='Back end calculations'!$Q$4,VLOOKUP(B8,'Back end calculations'!$B$2:$S$34,4,FALSE),VLOOKUP(B8,'Back end calculations'!$B$2:$S$34,11,FALSE)))</f>
        <v/>
      </c>
      <c r="F8" s="37" t="str">
        <f>IF($D$7='Back end calculations'!$Q$3,"",IF('Payback Calculator'!$D$7='Back end calculations'!$Q$4,VLOOKUP(B8,'Back end calculations'!$B$2:$S$34,5,FALSE),VLOOKUP(B8,'Back end calculations'!$B$2:$S$34,12,FALSE)))</f>
        <v/>
      </c>
    </row>
    <row r="9" spans="2:6" ht="30" customHeight="1">
      <c r="B9" s="38" t="str">
        <f>IF($D$7='Back end calculations'!$Q$3,"",B8+1)</f>
        <v/>
      </c>
      <c r="C9" s="36" t="str">
        <f>IF($D$7='Back end calculations'!$Q$3,"",IF('Payback Calculator'!$D$7='Back end calculations'!$Q$4,VLOOKUP(B9,'Back end calculations'!$B$2:$S$34,2,FALSE),VLOOKUP(B9,'Back end calculations'!$B$2:$S$34,9,FALSE)))</f>
        <v/>
      </c>
      <c r="D9" s="20"/>
      <c r="E9" s="36" t="str">
        <f>IF($D$7='Back end calculations'!$Q$3,"",IF('Payback Calculator'!$D$7='Back end calculations'!$Q$4,VLOOKUP(B9,'Back end calculations'!$B$2:$S$34,4,FALSE),VLOOKUP(B9,'Back end calculations'!$B$2:$S$34,11,FALSE)))</f>
        <v/>
      </c>
      <c r="F9" s="37" t="str">
        <f>IF($D$7='Back end calculations'!$Q$3,"",IF('Payback Calculator'!$D$7='Back end calculations'!$Q$4,VLOOKUP(B9,'Back end calculations'!$B$2:$S$34,5,FALSE),VLOOKUP(B9,'Back end calculations'!$B$2:$S$34,12,FALSE)))</f>
        <v/>
      </c>
    </row>
    <row r="10" spans="2:6" ht="30" customHeight="1">
      <c r="B10" s="38" t="str">
        <f>IF($D$7='Back end calculations'!$Q$3,"",B9+1)</f>
        <v/>
      </c>
      <c r="C10" s="36" t="str">
        <f>IF($D$7='Back end calculations'!$Q$3,"",IF('Payback Calculator'!$D$7='Back end calculations'!$Q$4,VLOOKUP(B10,'Back end calculations'!$B$2:$S$34,2,FALSE),VLOOKUP(B10,'Back end calculations'!$B$2:$S$34,9,FALSE)))</f>
        <v/>
      </c>
      <c r="D10" s="20"/>
      <c r="E10" s="36" t="str">
        <f>IF($D$7='Back end calculations'!$Q$3,"",IF('Payback Calculator'!$D$7='Back end calculations'!$Q$4,VLOOKUP(B10,'Back end calculations'!$B$2:$S$34,4,FALSE),VLOOKUP(B10,'Back end calculations'!$B$2:$S$34,11,FALSE)))</f>
        <v/>
      </c>
      <c r="F10" s="37" t="str">
        <f>IF($D$7='Back end calculations'!$Q$3,"",IF('Payback Calculator'!$D$7='Back end calculations'!$Q$4,VLOOKUP(B10,'Back end calculations'!$B$2:$S$34,5,FALSE),VLOOKUP(B10,'Back end calculations'!$B$2:$S$34,12,FALSE)))</f>
        <v/>
      </c>
    </row>
    <row r="11" spans="2:6" ht="30" customHeight="1">
      <c r="B11" s="38" t="str">
        <f>IF($D$7='Back end calculations'!$Q$3,"",B10+1)</f>
        <v/>
      </c>
      <c r="C11" s="36" t="str">
        <f>IF($D$7='Back end calculations'!$Q$3,"",IF('Payback Calculator'!$D$7='Back end calculations'!$Q$4,VLOOKUP(B11,'Back end calculations'!$B$2:$S$34,2,FALSE),VLOOKUP(B11,'Back end calculations'!$B$2:$S$34,9,FALSE)))</f>
        <v/>
      </c>
      <c r="D11" s="21"/>
      <c r="E11" s="36" t="str">
        <f>IF($D$7='Back end calculations'!$Q$3,"",IF('Payback Calculator'!$D$7='Back end calculations'!$Q$4,VLOOKUP(B11,'Back end calculations'!$B$2:$S$34,4,FALSE),VLOOKUP(B11,'Back end calculations'!$B$2:$S$34,11,FALSE)))</f>
        <v/>
      </c>
      <c r="F11" s="37" t="str">
        <f>IF($D$7='Back end calculations'!$Q$3,"",IF('Payback Calculator'!$D$7='Back end calculations'!$Q$4,VLOOKUP(B11,'Back end calculations'!$B$2:$S$34,5,FALSE),VLOOKUP(B11,'Back end calculations'!$B$2:$S$34,12,FALSE)))</f>
        <v/>
      </c>
    </row>
    <row r="12" spans="2:6" ht="30" customHeight="1">
      <c r="B12" s="38" t="str">
        <f>IF($D$7='Back end calculations'!$Q$3,"",B11+1)</f>
        <v/>
      </c>
      <c r="C12" s="36" t="str">
        <f>IF($D$7='Back end calculations'!$Q$3,"",IF('Payback Calculator'!$D$7='Back end calculations'!$Q$4,VLOOKUP(B12,'Back end calculations'!$B$2:$S$34,2,FALSE),VLOOKUP(B12,'Back end calculations'!$B$2:$S$34,9,FALSE)))</f>
        <v/>
      </c>
      <c r="D12" s="20"/>
      <c r="E12" s="36" t="str">
        <f>IF($D$7='Back end calculations'!$Q$3,"",IF('Payback Calculator'!$D$7='Back end calculations'!$Q$4,VLOOKUP(B12,'Back end calculations'!$B$2:$S$34,4,FALSE),VLOOKUP(B12,'Back end calculations'!$B$2:$S$34,11,FALSE)))</f>
        <v/>
      </c>
      <c r="F12" s="37" t="str">
        <f>IF($D$7='Back end calculations'!$Q$3,"",IF('Payback Calculator'!$D$7='Back end calculations'!$Q$4,VLOOKUP(B12,'Back end calculations'!$B$2:$S$34,5,FALSE),VLOOKUP(B12,'Back end calculations'!$B$2:$S$34,12,FALSE)))</f>
        <v/>
      </c>
    </row>
    <row r="13" spans="2:6" ht="30" customHeight="1">
      <c r="B13" s="38" t="str">
        <f>IF($D$7='Back end calculations'!$Q$3,"",B12+1)</f>
        <v/>
      </c>
      <c r="C13" s="36" t="str">
        <f>IF($D$7='Back end calculations'!$Q$3,"",IF('Payback Calculator'!$D$7='Back end calculations'!$Q$4,VLOOKUP(B13,'Back end calculations'!$B$2:$S$34,2,FALSE),VLOOKUP(B13,'Back end calculations'!$B$2:$S$34,9,FALSE)))</f>
        <v/>
      </c>
      <c r="D13" s="21"/>
      <c r="E13" s="36" t="str">
        <f>IF($D$7='Back end calculations'!$Q$3,"",IF('Payback Calculator'!$D$7='Back end calculations'!$Q$4,VLOOKUP(B13,'Back end calculations'!$B$2:$S$34,4,FALSE),VLOOKUP(B13,'Back end calculations'!$B$2:$S$34,11,FALSE)))</f>
        <v/>
      </c>
      <c r="F13" s="37" t="str">
        <f>IF($D$7='Back end calculations'!$Q$3,"",IF('Payback Calculator'!$D$7='Back end calculations'!$Q$4,VLOOKUP(B13,'Back end calculations'!$B$2:$S$34,5,FALSE),VLOOKUP(B13,'Back end calculations'!$B$2:$S$34,12,FALSE)))</f>
        <v/>
      </c>
    </row>
    <row r="14" spans="2:6" ht="30" customHeight="1">
      <c r="B14" s="38" t="str">
        <f>IF($D$7='Back end calculations'!$Q$3,"",B13+1)</f>
        <v/>
      </c>
      <c r="C14" s="36" t="str">
        <f>IF($D$7='Back end calculations'!$Q$3,"",IF('Payback Calculator'!$D$7='Back end calculations'!$Q$4,VLOOKUP(B14,'Back end calculations'!$B$2:$S$34,2,FALSE),VLOOKUP(B14,'Back end calculations'!$B$2:$S$34,9,FALSE)))</f>
        <v/>
      </c>
      <c r="D14" s="20"/>
      <c r="E14" s="36" t="str">
        <f>IF($D$7='Back end calculations'!$Q$3,"",IF('Payback Calculator'!$D$7='Back end calculations'!$Q$4,VLOOKUP(B14,'Back end calculations'!$B$2:$S$34,4,FALSE),VLOOKUP(B14,'Back end calculations'!$B$2:$S$34,11,FALSE)))</f>
        <v/>
      </c>
      <c r="F14" s="37" t="str">
        <f>IF($D$7='Back end calculations'!$Q$3,"",IF('Payback Calculator'!$D$7='Back end calculations'!$Q$4,VLOOKUP(B14,'Back end calculations'!$B$2:$S$34,5,FALSE),VLOOKUP(B14,'Back end calculations'!$B$2:$S$34,12,FALSE)))</f>
        <v/>
      </c>
    </row>
    <row r="15" spans="2:6" ht="30" customHeight="1">
      <c r="B15" s="38" t="str">
        <f>IF($D$7='Back end calculations'!$Q$3,"",B14+1)</f>
        <v/>
      </c>
      <c r="C15" s="36" t="str">
        <f>IF($D$7='Back end calculations'!$Q$3,"",IF('Payback Calculator'!$D$7='Back end calculations'!$Q$4,VLOOKUP(B15,'Back end calculations'!$B$2:$S$34,2,FALSE),VLOOKUP(B15,'Back end calculations'!$B$2:$S$34,9,FALSE)))</f>
        <v/>
      </c>
      <c r="D15" s="21"/>
      <c r="E15" s="36" t="str">
        <f>IF($D$7='Back end calculations'!$Q$3,"",IF('Payback Calculator'!$D$7='Back end calculations'!$Q$4,VLOOKUP(B15,'Back end calculations'!$B$2:$S$34,4,FALSE),VLOOKUP(B15,'Back end calculations'!$B$2:$S$34,11,FALSE)))</f>
        <v/>
      </c>
      <c r="F15" s="37" t="str">
        <f>IF($D$7='Back end calculations'!$Q$3,"",IF('Payback Calculator'!$D$7='Back end calculations'!$Q$4,VLOOKUP(B15,'Back end calculations'!$B$2:$S$34,5,FALSE),VLOOKUP(B15,'Back end calculations'!$B$2:$S$34,12,FALSE)))</f>
        <v/>
      </c>
    </row>
    <row r="16" spans="2:6" ht="30" customHeight="1">
      <c r="B16" s="38" t="str">
        <f>IF($D$7='Back end calculations'!$Q$3,"",B15+1)</f>
        <v/>
      </c>
      <c r="C16" s="36" t="str">
        <f>IF($D$7='Back end calculations'!$Q$3,"",IF('Payback Calculator'!$D$7='Back end calculations'!$Q$4,VLOOKUP(B16,'Back end calculations'!$B$2:$S$34,2,FALSE),VLOOKUP(B16,'Back end calculations'!$B$2:$S$34,9,FALSE)))</f>
        <v/>
      </c>
      <c r="D16" s="21"/>
      <c r="E16" s="36" t="str">
        <f>IF($D$7='Back end calculations'!$Q$3,"",IF('Payback Calculator'!$D$7='Back end calculations'!$Q$4,VLOOKUP(B16,'Back end calculations'!$B$2:$S$34,4,FALSE),VLOOKUP(B16,'Back end calculations'!$B$2:$S$34,11,FALSE)))</f>
        <v/>
      </c>
      <c r="F16" s="37" t="str">
        <f>IF($D$7='Back end calculations'!$Q$3,"",IF('Payback Calculator'!$D$7='Back end calculations'!$Q$4,VLOOKUP(B16,'Back end calculations'!$B$2:$S$34,5,FALSE),VLOOKUP(B16,'Back end calculations'!$B$2:$S$34,12,FALSE)))</f>
        <v/>
      </c>
    </row>
    <row r="17" spans="2:6" ht="30" customHeight="1">
      <c r="B17" s="38" t="str">
        <f>IF($D$7='Back end calculations'!$Q$3,"",B16+1)</f>
        <v/>
      </c>
      <c r="C17" s="36" t="str">
        <f>IF($D$7='Back end calculations'!$Q$3,"",IF('Payback Calculator'!$D$7='Back end calculations'!$Q$4,VLOOKUP(B17,'Back end calculations'!$B$2:$S$34,2,FALSE),VLOOKUP(B17,'Back end calculations'!$B$2:$S$34,9,FALSE)))</f>
        <v/>
      </c>
      <c r="D17" s="21"/>
      <c r="E17" s="36" t="str">
        <f>IF($D$7='Back end calculations'!$Q$3,"",IF('Payback Calculator'!$D$7='Back end calculations'!$Q$4,VLOOKUP(B17,'Back end calculations'!$B$2:$S$34,4,FALSE),VLOOKUP(B17,'Back end calculations'!$B$2:$S$34,11,FALSE)))</f>
        <v/>
      </c>
      <c r="F17" s="37" t="str">
        <f>IF($D$7='Back end calculations'!$Q$3,"",IF('Payback Calculator'!$D$7='Back end calculations'!$Q$4,VLOOKUP(B17,'Back end calculations'!$B$2:$S$34,5,FALSE),VLOOKUP(B17,'Back end calculations'!$B$2:$S$34,12,FALSE)))</f>
        <v/>
      </c>
    </row>
    <row r="18" spans="2:6" ht="30" customHeight="1">
      <c r="B18" s="38" t="str">
        <f>IF($D$7='Back end calculations'!$Q$3,"",B17+1)</f>
        <v/>
      </c>
      <c r="C18" s="36" t="str">
        <f>IF($D$7='Back end calculations'!$Q$3,"",IF('Payback Calculator'!$D$7='Back end calculations'!$Q$4,VLOOKUP(B18,'Back end calculations'!$B$2:$S$34,2,FALSE),VLOOKUP(B18,'Back end calculations'!$B$2:$S$34,9,FALSE)))</f>
        <v/>
      </c>
      <c r="D18" s="21"/>
      <c r="E18" s="36" t="str">
        <f>IF($D$7='Back end calculations'!$Q$3,"",IF('Payback Calculator'!$D$7='Back end calculations'!$Q$4,VLOOKUP(B18,'Back end calculations'!$B$2:$S$34,4,FALSE),VLOOKUP(B18,'Back end calculations'!$B$2:$S$34,11,FALSE)))</f>
        <v/>
      </c>
      <c r="F18" s="37" t="str">
        <f>IF($D$7='Back end calculations'!$Q$3,"",IF('Payback Calculator'!$D$7='Back end calculations'!$Q$4,VLOOKUP(B18,'Back end calculations'!$B$2:$S$34,5,FALSE),VLOOKUP(B18,'Back end calculations'!$B$2:$S$34,12,FALSE)))</f>
        <v/>
      </c>
    </row>
    <row r="19" spans="2:6" ht="30" customHeight="1">
      <c r="B19" s="38" t="str">
        <f>IF($D$7='Back end calculations'!$Q$3,"",B18+1)</f>
        <v/>
      </c>
      <c r="C19" s="36" t="str">
        <f>IF($D$7='Back end calculations'!$Q$3,"",IF('Payback Calculator'!$D$7='Back end calculations'!$Q$4,VLOOKUP(B19,'Back end calculations'!$B$2:$S$34,2,FALSE),VLOOKUP(B19,'Back end calculations'!$B$2:$S$34,9,FALSE)))</f>
        <v/>
      </c>
      <c r="D19" s="21"/>
      <c r="E19" s="36" t="str">
        <f>IF($D$7='Back end calculations'!$Q$3,"",IF('Payback Calculator'!$D$7='Back end calculations'!$Q$4,VLOOKUP(B19,'Back end calculations'!$B$2:$S$34,4,FALSE),VLOOKUP(B19,'Back end calculations'!$B$2:$S$34,11,FALSE)))</f>
        <v/>
      </c>
      <c r="F19" s="37" t="str">
        <f>IF($D$7='Back end calculations'!$Q$3,"",IF('Payback Calculator'!$D$7='Back end calculations'!$Q$4,VLOOKUP(B19,'Back end calculations'!$B$2:$S$34,5,FALSE),VLOOKUP(B19,'Back end calculations'!$B$2:$S$34,12,FALSE)))</f>
        <v/>
      </c>
    </row>
    <row r="20" spans="2:6" ht="30" customHeight="1">
      <c r="B20" s="38" t="str">
        <f>IF($D$7='Back end calculations'!$Q$3,"",B19+1)</f>
        <v/>
      </c>
      <c r="C20" s="36" t="str">
        <f>IF($D$7='Back end calculations'!$Q$3,"",IF('Payback Calculator'!$D$7='Back end calculations'!$Q$4,VLOOKUP(B20,'Back end calculations'!$B$2:$S$34,2,FALSE),VLOOKUP(B20,'Back end calculations'!$B$2:$S$34,9,FALSE)))</f>
        <v/>
      </c>
      <c r="D20" s="22"/>
      <c r="E20" s="36" t="str">
        <f>IF($D$7='Back end calculations'!$Q$3,"",IF('Payback Calculator'!$D$7='Back end calculations'!$Q$4,VLOOKUP(B20,'Back end calculations'!$B$2:$S$34,4,FALSE),VLOOKUP(B20,'Back end calculations'!$B$2:$S$34,11,FALSE)))</f>
        <v/>
      </c>
      <c r="F20" s="37" t="str">
        <f>IF($D$7='Back end calculations'!$Q$3,"",IF('Payback Calculator'!$D$7='Back end calculations'!$Q$4,VLOOKUP(B20,'Back end calculations'!$B$2:$S$34,5,FALSE),VLOOKUP(B20,'Back end calculations'!$B$2:$S$34,12,FALSE)))</f>
        <v/>
      </c>
    </row>
    <row r="21" spans="2:6" ht="30" customHeight="1">
      <c r="B21" s="38" t="str">
        <f>IF($D$7='Back end calculations'!$Q$3,"",B20+1)</f>
        <v/>
      </c>
      <c r="C21" s="36" t="str">
        <f>IF($D$7='Back end calculations'!$Q$3,"",IF('Payback Calculator'!$D$7='Back end calculations'!$Q$4,VLOOKUP(B21,'Back end calculations'!$B$2:$S$34,2,FALSE),VLOOKUP(B21,'Back end calculations'!$B$2:$S$34,9,FALSE)))</f>
        <v/>
      </c>
      <c r="D21" s="21"/>
      <c r="E21" s="36" t="str">
        <f>IF($D$7='Back end calculations'!$Q$3,"",IF('Payback Calculator'!$D$7='Back end calculations'!$Q$4,VLOOKUP(B21,'Back end calculations'!$B$2:$S$34,4,FALSE),VLOOKUP(B21,'Back end calculations'!$B$2:$S$34,11,FALSE)))</f>
        <v/>
      </c>
      <c r="F21" s="37" t="str">
        <f>IF($D$7='Back end calculations'!$Q$3,"",IF('Payback Calculator'!$D$7='Back end calculations'!$Q$4,VLOOKUP(B21,'Back end calculations'!$B$2:$S$34,5,FALSE),VLOOKUP(B21,'Back end calculations'!$B$2:$S$34,12,FALSE)))</f>
        <v/>
      </c>
    </row>
    <row r="22" spans="2:6" ht="30" customHeight="1">
      <c r="B22" s="38" t="str">
        <f>IF($D$7='Back end calculations'!$Q$3,"",B21+1)</f>
        <v/>
      </c>
      <c r="C22" s="36" t="str">
        <f>IF($D$7='Back end calculations'!$Q$3,"",IF('Payback Calculator'!$D$7='Back end calculations'!$Q$4,VLOOKUP(B22,'Back end calculations'!$B$2:$S$34,2,FALSE),VLOOKUP(B22,'Back end calculations'!$B$2:$S$34,9,FALSE)))</f>
        <v/>
      </c>
      <c r="D22" s="21"/>
      <c r="E22" s="36" t="str">
        <f>IF($D$7='Back end calculations'!$Q$3,"",IF('Payback Calculator'!$D$7='Back end calculations'!$Q$4,VLOOKUP(B22,'Back end calculations'!$B$2:$S$34,4,FALSE),VLOOKUP(B22,'Back end calculations'!$B$2:$S$34,11,FALSE)))</f>
        <v/>
      </c>
      <c r="F22" s="37" t="str">
        <f>IF($D$7='Back end calculations'!$Q$3,"",IF('Payback Calculator'!$D$7='Back end calculations'!$Q$4,VLOOKUP(B22,'Back end calculations'!$B$2:$S$34,5,FALSE),VLOOKUP(B22,'Back end calculations'!$B$2:$S$34,12,FALSE)))</f>
        <v/>
      </c>
    </row>
    <row r="23" spans="2:6" ht="30" customHeight="1">
      <c r="B23" s="38" t="str">
        <f>IF($D$7='Back end calculations'!$Q$3,"",B22+1)</f>
        <v/>
      </c>
      <c r="C23" s="36" t="str">
        <f>IF($D$7='Back end calculations'!$Q$3,"",IF('Payback Calculator'!$D$7='Back end calculations'!$Q$4,VLOOKUP(B23,'Back end calculations'!$B$2:$S$34,2,FALSE),VLOOKUP(B23,'Back end calculations'!$B$2:$S$34,9,FALSE)))</f>
        <v/>
      </c>
      <c r="D23" s="23"/>
      <c r="E23" s="36" t="str">
        <f>IF($D$7='Back end calculations'!$Q$3,"",IF('Payback Calculator'!$D$7='Back end calculations'!$Q$4,VLOOKUP(B23,'Back end calculations'!$B$2:$S$34,4,FALSE),VLOOKUP(B23,'Back end calculations'!$B$2:$S$34,11,FALSE)))</f>
        <v/>
      </c>
      <c r="F23" s="37" t="str">
        <f>IF($D$7='Back end calculations'!$Q$3,"",IF('Payback Calculator'!$D$7='Back end calculations'!$Q$4,VLOOKUP(B23,'Back end calculations'!$B$2:$S$34,5,FALSE),VLOOKUP(B23,'Back end calculations'!$B$2:$S$34,12,FALSE)))</f>
        <v/>
      </c>
    </row>
    <row r="24" spans="2:6" ht="30" customHeight="1">
      <c r="B24" s="38" t="str">
        <f>IF($D$7='Back end calculations'!$Q$3,"",B23+1)</f>
        <v/>
      </c>
      <c r="C24" s="36" t="str">
        <f>IF($D$7='Back end calculations'!$Q$3,"",IF('Payback Calculator'!$D$7='Back end calculations'!$Q$4,VLOOKUP(B24,'Back end calculations'!$B$2:$S$34,2,FALSE),VLOOKUP(B24,'Back end calculations'!$B$2:$S$34,9,FALSE)))</f>
        <v/>
      </c>
      <c r="D24" s="23"/>
      <c r="E24" s="36" t="str">
        <f>IF($D$7='Back end calculations'!$Q$3,"",IF('Payback Calculator'!$D$7='Back end calculations'!$Q$4,VLOOKUP(B24,'Back end calculations'!$B$2:$S$34,4,FALSE),VLOOKUP(B24,'Back end calculations'!$B$2:$S$34,11,FALSE)))</f>
        <v/>
      </c>
      <c r="F24" s="37" t="str">
        <f>IF($D$7='Back end calculations'!$Q$3,"",IF('Payback Calculator'!$D$7='Back end calculations'!$Q$4,VLOOKUP(B24,'Back end calculations'!$B$2:$S$34,5,FALSE),VLOOKUP(B24,'Back end calculations'!$B$2:$S$34,12,FALSE)))</f>
        <v/>
      </c>
    </row>
    <row r="25" spans="2:6" ht="30" customHeight="1">
      <c r="B25" s="38" t="str">
        <f>IF($D$7='Back end calculations'!$Q$3,"",B24+1)</f>
        <v/>
      </c>
      <c r="C25" s="36" t="str">
        <f>IF($D$7='Back end calculations'!$Q$3,"",IF('Payback Calculator'!$D$7='Back end calculations'!$Q$4,VLOOKUP(B25,'Back end calculations'!$B$2:$S$34,2,FALSE),VLOOKUP(B25,'Back end calculations'!$B$2:$S$34,9,FALSE)))</f>
        <v/>
      </c>
      <c r="D25" s="22"/>
      <c r="E25" s="36" t="str">
        <f>IF($D$7='Back end calculations'!$Q$3,"",IF('Payback Calculator'!$D$7='Back end calculations'!$Q$4,VLOOKUP(B25,'Back end calculations'!$B$2:$S$34,4,FALSE),VLOOKUP(B25,'Back end calculations'!$B$2:$S$34,11,FALSE)))</f>
        <v/>
      </c>
      <c r="F25" s="37" t="str">
        <f>IF($D$7='Back end calculations'!$Q$3,"",IF('Payback Calculator'!$D$7='Back end calculations'!$Q$4,VLOOKUP(B25,'Back end calculations'!$B$2:$S$34,5,FALSE),VLOOKUP(B25,'Back end calculations'!$B$2:$S$34,12,FALSE)))</f>
        <v/>
      </c>
    </row>
    <row r="26" spans="2:6" ht="30" customHeight="1">
      <c r="B26" s="38" t="str">
        <f>IF($D$7='Back end calculations'!$Q$3,"",B25+1)</f>
        <v/>
      </c>
      <c r="C26" s="36" t="str">
        <f>IF($D$7='Back end calculations'!$Q$3,"",IF('Payback Calculator'!$D$7='Back end calculations'!$Q$4,VLOOKUP(B26,'Back end calculations'!$B$2:$S$34,2,FALSE),VLOOKUP(B26,'Back end calculations'!$B$2:$S$34,9,FALSE)))</f>
        <v/>
      </c>
      <c r="D26" s="23"/>
      <c r="E26" s="36" t="str">
        <f>IF($D$7='Back end calculations'!$Q$3,"",IF('Payback Calculator'!$D$7='Back end calculations'!$Q$4,VLOOKUP(B26,'Back end calculations'!$B$2:$S$34,4,FALSE),VLOOKUP(B26,'Back end calculations'!$B$2:$S$34,11,FALSE)))</f>
        <v/>
      </c>
      <c r="F26" s="37" t="str">
        <f>IF($D$7='Back end calculations'!$Q$3,"",IF('Payback Calculator'!$D$7='Back end calculations'!$Q$4,VLOOKUP(B26,'Back end calculations'!$B$2:$S$34,5,FALSE),VLOOKUP(B26,'Back end calculations'!$B$2:$S$34,12,FALSE)))</f>
        <v/>
      </c>
    </row>
    <row r="27" spans="2:6" ht="30" customHeight="1">
      <c r="B27" s="38" t="str">
        <f>IF($D$7='Back end calculations'!$Q$3,"",B26+1)</f>
        <v/>
      </c>
      <c r="C27" s="36" t="str">
        <f>IF($D$7='Back end calculations'!$Q$3,"",IF('Payback Calculator'!$D$7='Back end calculations'!$Q$4,VLOOKUP(B27,'Back end calculations'!$B$2:$S$34,2,FALSE),VLOOKUP(B27,'Back end calculations'!$B$2:$S$34,9,FALSE)))</f>
        <v/>
      </c>
      <c r="D27" s="21"/>
      <c r="E27" s="36" t="str">
        <f>IF($D$7='Back end calculations'!$Q$3,"",IF('Payback Calculator'!$D$7='Back end calculations'!$Q$4,VLOOKUP(B27,'Back end calculations'!$B$2:$S$34,4,FALSE),VLOOKUP(B27,'Back end calculations'!$B$2:$S$34,11,FALSE)))</f>
        <v/>
      </c>
      <c r="F27" s="37" t="str">
        <f>IF($D$7='Back end calculations'!$Q$3,"",IF('Payback Calculator'!$D$7='Back end calculations'!$Q$4,VLOOKUP(B27,'Back end calculations'!$B$2:$S$34,5,FALSE),VLOOKUP(B27,'Back end calculations'!$B$2:$S$34,12,FALSE)))</f>
        <v/>
      </c>
    </row>
    <row r="28" spans="2:6" ht="30" customHeight="1">
      <c r="B28" s="38" t="str">
        <f>IF($D$7='Back end calculations'!$Q$3,"",B27+1)</f>
        <v/>
      </c>
      <c r="C28" s="36" t="str">
        <f>IF($D$7='Back end calculations'!$Q$3,"",IF('Payback Calculator'!$D$7='Back end calculations'!$Q$4,VLOOKUP(B28,'Back end calculations'!$B$2:$S$34,2,FALSE),VLOOKUP(B28,'Back end calculations'!$B$2:$S$34,9,FALSE)))</f>
        <v/>
      </c>
      <c r="D28" s="22"/>
      <c r="E28" s="36" t="str">
        <f>IF($D$7='Back end calculations'!$Q$3,"",IF('Payback Calculator'!$D$7='Back end calculations'!$Q$4,VLOOKUP(B28,'Back end calculations'!$B$2:$S$34,4,FALSE),VLOOKUP(B28,'Back end calculations'!$B$2:$S$34,11,FALSE)))</f>
        <v/>
      </c>
      <c r="F28" s="37" t="str">
        <f>IF($D$7='Back end calculations'!$Q$3,"",IF('Payback Calculator'!$D$7='Back end calculations'!$Q$4,VLOOKUP(B28,'Back end calculations'!$B$2:$S$34,5,FALSE),VLOOKUP(B28,'Back end calculations'!$B$2:$S$34,12,FALSE)))</f>
        <v/>
      </c>
    </row>
    <row r="29" spans="2:6" ht="30" customHeight="1">
      <c r="B29" s="35" t="str">
        <f>IF($D$7='Back end calculations'!$Q$4,'Payback Calculator'!B28+1,"")</f>
        <v/>
      </c>
      <c r="C29" s="33" t="str">
        <f>IF($D$7='Back end calculations'!$Q$4,'Back end calculations'!C24,"")</f>
        <v/>
      </c>
      <c r="D29" s="24"/>
      <c r="E29" s="33" t="str">
        <f>IF($D$7='Back end calculations'!$Q$4,'Back end calculations'!E24,"")</f>
        <v/>
      </c>
      <c r="F29" s="34" t="str">
        <f>IF($D$7='Back end calculations'!$Q$4,'Back end calculations'!F24,"")</f>
        <v/>
      </c>
    </row>
    <row r="30" spans="2:6" ht="16" thickBot="1"/>
    <row r="31" spans="2:6" ht="28.5" customHeight="1" thickBot="1">
      <c r="C31" s="46" t="s">
        <v>149</v>
      </c>
      <c r="D31" s="45" t="s">
        <v>148</v>
      </c>
    </row>
    <row r="32" spans="2:6" ht="16" thickBot="1"/>
    <row r="33" spans="3:4" ht="27.75" customHeight="1" thickBot="1">
      <c r="C33" s="70" t="s">
        <v>137</v>
      </c>
      <c r="D33" s="71"/>
    </row>
    <row r="34" spans="3:4" ht="20.25" customHeight="1">
      <c r="C34" s="27" t="str">
        <f>IF($D$7='Back end calculations'!$Q$3,"",IF('Payback Calculator'!$D$7='Back end calculations'!$Q$4,'Back end calculations'!C28,'Back end calculations'!J28))</f>
        <v/>
      </c>
      <c r="D34" s="28" t="str">
        <f>IF(AND($D$31="Yes",$D$7='Back end calculations'!$Q$4),'Back end calculations'!D28,IF(AND($D$31="Yes",$D$7='Back end calculations'!$Q$5),'Back end calculations'!K28,""))</f>
        <v/>
      </c>
    </row>
    <row r="35" spans="3:4" ht="20.25" customHeight="1">
      <c r="C35" s="27" t="str">
        <f>IF($D$7='Back end calculations'!$Q$3,"",IF('Payback Calculator'!$D$7='Back end calculations'!$Q$4,'Back end calculations'!C29,'Back end calculations'!J29))</f>
        <v/>
      </c>
      <c r="D35" s="28" t="str">
        <f>IF(AND($D$31="Yes",$D$7='Back end calculations'!$Q$4),'Back end calculations'!D29,IF(AND($D$31="Yes",$D$7='Back end calculations'!$Q$5),'Back end calculations'!K29,""))</f>
        <v/>
      </c>
    </row>
    <row r="36" spans="3:4" ht="20.25" customHeight="1">
      <c r="C36" s="27" t="str">
        <f>IF($D$7='Back end calculations'!$Q$3,"",IF('Payback Calculator'!$D$7='Back end calculations'!$Q$4,'Back end calculations'!C30,'Back end calculations'!J30))</f>
        <v/>
      </c>
      <c r="D36" s="28" t="str">
        <f>IF(AND($D$31="Yes",$D$7='Back end calculations'!$Q$4),'Back end calculations'!D30,IF(AND($D$31="Yes",$D$7='Back end calculations'!$Q$5),'Back end calculations'!K30,""))</f>
        <v/>
      </c>
    </row>
    <row r="37" spans="3:4" ht="20.25" customHeight="1">
      <c r="C37" s="27" t="str">
        <f>IF($D$7='Back end calculations'!$Q$3,"",IF('Payback Calculator'!$D$7='Back end calculations'!$Q$4,'Back end calculations'!C31,'Back end calculations'!J31))</f>
        <v/>
      </c>
      <c r="D37" s="28" t="str">
        <f>IF(AND($D$31="Yes",$D$7='Back end calculations'!$Q$4),'Back end calculations'!D31,IF(AND($D$31="Yes",$D$7='Back end calculations'!$Q$5),'Back end calculations'!K31,""))</f>
        <v/>
      </c>
    </row>
    <row r="38" spans="3:4" ht="20.25" customHeight="1" thickBot="1">
      <c r="C38" s="29" t="str">
        <f>IF($D$7='Back end calculations'!$Q$3,"",IF('Payback Calculator'!$D$7='Back end calculations'!$Q$4,'Back end calculations'!C32,'Back end calculations'!J32))</f>
        <v/>
      </c>
      <c r="D38" s="30" t="str">
        <f>IF(AND($D$31="Yes",$D$7='Back end calculations'!$Q$4),'Back end calculations'!D32,IF(AND($D$31="Yes",$D$7='Back end calculations'!$Q$5),'Back end calculations'!K32,""))</f>
        <v/>
      </c>
    </row>
    <row r="39" spans="3:4" ht="26.25" customHeight="1" thickTop="1">
      <c r="C39" s="31" t="str">
        <f>IF($D$7='Back end calculations'!$Q$3,"",IF('Payback Calculator'!$D$7='Back end calculations'!$Q$4,'Back end calculations'!C33,'Back end calculations'!J33))</f>
        <v/>
      </c>
      <c r="D39" s="48" t="str">
        <f>IF(AND($D$31="Yes",$D$7='Back end calculations'!$Q$4),'Back end calculations'!D33,IF(AND($D$31="Yes",$D$7='Back end calculations'!$Q$5),'Back end calculations'!K33,""))</f>
        <v/>
      </c>
    </row>
    <row r="40" spans="3:4" ht="26.25" customHeight="1" thickBot="1">
      <c r="C40" s="32" t="str">
        <f>IF($D$7='Back end calculations'!$Q$3,"",IF('Payback Calculator'!$D$7='Back end calculations'!$Q$4,'Back end calculations'!C35,'Back end calculations'!J35))</f>
        <v/>
      </c>
      <c r="D40" s="47" t="str">
        <f>IF(AND($D$31="Yes",$D$7='Back end calculations'!$Q$4),'Back end calculations'!D35,IF(AND($D$31="Yes",$D$7='Back end calculations'!$Q$5),'Back end calculations'!K35,""))</f>
        <v/>
      </c>
    </row>
    <row r="41" spans="3:4" ht="40.5" customHeight="1"/>
    <row r="42" spans="3:4" ht="109.5" customHeight="1">
      <c r="C42" s="68" t="s">
        <v>135</v>
      </c>
      <c r="D42" s="69"/>
    </row>
  </sheetData>
  <sheetProtection algorithmName="SHA-512" hashValue="WNuZWaA/Q+NK8Tj1FBmygcfPkARG0CKWuGuq4dP9gidqLfOt1BHKHPrt8msnhEtN8FrasxNz8h86XjO38bsdrA==" saltValue="ooPHq9maXDjRFeD/S+A9pg==" spinCount="100000" sheet="1" objects="1" scenarios="1"/>
  <protectedRanges>
    <protectedRange sqref="D7:D31" name="User Values"/>
  </protectedRanges>
  <mergeCells count="4">
    <mergeCell ref="B2:F2"/>
    <mergeCell ref="B4:F4"/>
    <mergeCell ref="C42:D42"/>
    <mergeCell ref="C33:D33"/>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2" id="{BB866D2C-B047-4C5D-A227-B14B68601701}">
            <xm:f>$D$7='Back end calculations'!$Q$4</xm:f>
            <x14:dxf>
              <numFmt numFmtId="11" formatCode="&quot;$&quot;#,##0.00_);\(&quot;$&quot;#,##0.00\)"/>
            </x14:dxf>
          </x14:cfRule>
          <xm:sqref>D8 D20 D25 D28 D29</xm:sqref>
        </x14:conditionalFormatting>
        <x14:conditionalFormatting xmlns:xm="http://schemas.microsoft.com/office/excel/2006/main">
          <x14:cfRule type="expression" priority="8" id="{4BD09CAB-E7D3-4801-BD9C-B59BA954712E}">
            <xm:f>$D$7='Back end calculations'!$Q$4</xm:f>
            <x14:dxf>
              <numFmt numFmtId="168" formatCode="0\%"/>
            </x14:dxf>
          </x14:cfRule>
          <xm:sqref>D11 D13 D21 D27</xm:sqref>
        </x14:conditionalFormatting>
        <x14:conditionalFormatting xmlns:xm="http://schemas.microsoft.com/office/excel/2006/main">
          <x14:cfRule type="expression" priority="4" id="{1FD6F7AC-D901-4F33-9C8C-989FEDCC9A3D}">
            <xm:f>$D$7='Back end calculations'!$Q$4</xm:f>
            <x14:dxf>
              <numFmt numFmtId="3" formatCode="#,##0"/>
            </x14:dxf>
          </x14:cfRule>
          <xm:sqref>D10 D12 D14 D15 D16 D17 D18 D19 D22 D23 D24 D26</xm:sqref>
        </x14:conditionalFormatting>
        <x14:conditionalFormatting xmlns:xm="http://schemas.microsoft.com/office/excel/2006/main">
          <x14:cfRule type="expression" priority="3" id="{436B1D7B-20A6-4E5F-94CD-74A64D18B90A}">
            <xm:f>$D$7='Back end calculations'!$Q$5</xm:f>
            <x14:dxf>
              <numFmt numFmtId="164" formatCode="&quot;$&quot;#,##0.00"/>
            </x14:dxf>
          </x14:cfRule>
          <xm:sqref>D8 D19 D24 D27 D28</xm:sqref>
        </x14:conditionalFormatting>
        <x14:conditionalFormatting xmlns:xm="http://schemas.microsoft.com/office/excel/2006/main">
          <x14:cfRule type="expression" priority="2" id="{3BE90DCD-AF2A-4800-B924-5A605FFC289A}">
            <xm:f>$D$7='Back end calculations'!$Q$5</xm:f>
            <x14:dxf>
              <numFmt numFmtId="3" formatCode="#,##0"/>
            </x14:dxf>
          </x14:cfRule>
          <xm:sqref>D10 D12 D13 D14 D15 D18 D21 D22 D23 D25</xm:sqref>
        </x14:conditionalFormatting>
        <x14:conditionalFormatting xmlns:xm="http://schemas.microsoft.com/office/excel/2006/main">
          <x14:cfRule type="expression" priority="1" id="{B97451F2-4EF7-44BA-8C79-F18BF58EEB7C}">
            <xm:f>$D$7='Back end calculations'!$Q$5</xm:f>
            <x14:dxf>
              <numFmt numFmtId="168" formatCode="0\%"/>
            </x14:dxf>
          </x14:cfRule>
          <xm:sqref>D11 D16 D17 D20 D26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21D86E7-8276-4312-B098-0A20B3FF6D3C}">
          <x14:formula1>
            <xm:f>'Back end calculations'!$Q$3:$Q$5</xm:f>
          </x14:formula1>
          <xm:sqref>D7</xm:sqref>
        </x14:dataValidation>
        <x14:dataValidation type="list" allowBlank="1" showInputMessage="1" showErrorMessage="1" xr:uid="{1D4E43D1-FBA2-473E-BB01-D5455952764A}">
          <x14:formula1>
            <xm:f>'City solar intensity'!$B$4:$B$60</xm:f>
          </x14:formula1>
          <xm:sqref>D9</xm:sqref>
        </x14:dataValidation>
        <x14:dataValidation type="list" allowBlank="1" showInputMessage="1" showErrorMessage="1" xr:uid="{E7695EF9-0029-4689-931B-B883EE23F06D}">
          <x14:formula1>
            <xm:f>'Back end calculations'!$Q$8:$Q$9</xm:f>
          </x14:formula1>
          <xm:sqref>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BCA48-3CCF-42F4-A004-350164BF9416}">
  <sheetPr codeName="Sheet2"/>
  <dimension ref="A2:X35"/>
  <sheetViews>
    <sheetView zoomScaleNormal="100" workbookViewId="0">
      <selection activeCell="R14" sqref="R14"/>
    </sheetView>
  </sheetViews>
  <sheetFormatPr baseColWidth="10" defaultColWidth="8.83203125" defaultRowHeight="15"/>
  <cols>
    <col min="1" max="2" width="3.83203125" customWidth="1"/>
    <col min="3" max="3" width="75.6640625" bestFit="1" customWidth="1"/>
    <col min="4" max="4" width="12.6640625" bestFit="1" customWidth="1"/>
    <col min="5" max="5" width="21.1640625" customWidth="1"/>
    <col min="6" max="6" width="25.83203125" customWidth="1"/>
    <col min="7" max="7" width="17" customWidth="1"/>
    <col min="8" max="8" width="46" bestFit="1" customWidth="1"/>
    <col min="9" max="9" width="4.6640625" customWidth="1"/>
    <col min="10" max="10" width="66.33203125" bestFit="1" customWidth="1"/>
    <col min="11" max="11" width="15.5" customWidth="1"/>
    <col min="12" max="12" width="17" bestFit="1" customWidth="1"/>
    <col min="13" max="14" width="17" customWidth="1"/>
    <col min="15" max="15" width="23.1640625" bestFit="1" customWidth="1"/>
  </cols>
  <sheetData>
    <row r="2" spans="1:24">
      <c r="A2" s="6"/>
      <c r="B2" s="6"/>
      <c r="C2" s="6" t="s">
        <v>105</v>
      </c>
      <c r="D2" s="6" t="s">
        <v>77</v>
      </c>
      <c r="E2" s="6" t="s">
        <v>75</v>
      </c>
      <c r="F2" s="6" t="s">
        <v>109</v>
      </c>
      <c r="G2" s="6" t="s">
        <v>94</v>
      </c>
      <c r="H2" s="6"/>
      <c r="I2" s="6"/>
      <c r="J2" s="6" t="s">
        <v>106</v>
      </c>
      <c r="K2" s="6" t="s">
        <v>77</v>
      </c>
      <c r="L2" s="6" t="s">
        <v>75</v>
      </c>
      <c r="M2" s="6" t="s">
        <v>109</v>
      </c>
      <c r="N2" s="6" t="s">
        <v>94</v>
      </c>
      <c r="O2" s="6"/>
      <c r="P2" s="6"/>
      <c r="Q2" s="6" t="s">
        <v>79</v>
      </c>
      <c r="R2" s="6"/>
      <c r="S2" s="6"/>
      <c r="T2" s="6"/>
      <c r="U2" s="6"/>
      <c r="V2" s="6"/>
      <c r="W2" s="6"/>
      <c r="X2" s="6"/>
    </row>
    <row r="3" spans="1:24">
      <c r="B3">
        <v>2</v>
      </c>
      <c r="C3" t="s">
        <v>107</v>
      </c>
      <c r="D3" s="8">
        <f>'Payback Calculator'!D8</f>
        <v>0</v>
      </c>
      <c r="E3" t="s">
        <v>74</v>
      </c>
      <c r="F3" t="s">
        <v>110</v>
      </c>
      <c r="I3">
        <v>2</v>
      </c>
      <c r="J3" t="s">
        <v>107</v>
      </c>
      <c r="K3" s="8">
        <v>1200</v>
      </c>
      <c r="L3" t="s">
        <v>74</v>
      </c>
      <c r="M3" t="s">
        <v>110</v>
      </c>
      <c r="Q3" t="s">
        <v>134</v>
      </c>
    </row>
    <row r="4" spans="1:24">
      <c r="B4">
        <v>3</v>
      </c>
      <c r="C4" t="s">
        <v>108</v>
      </c>
      <c r="D4" s="1">
        <f>'Payback Calculator'!D9</f>
        <v>0</v>
      </c>
      <c r="E4" t="s">
        <v>102</v>
      </c>
      <c r="F4" t="s">
        <v>129</v>
      </c>
      <c r="G4" t="e">
        <f>VLOOKUP(D4,'City solar intensity'!$B$3:$D$60,3,FALSE)</f>
        <v>#N/A</v>
      </c>
      <c r="H4" t="s">
        <v>78</v>
      </c>
      <c r="I4">
        <v>3</v>
      </c>
      <c r="J4" t="s">
        <v>108</v>
      </c>
      <c r="K4" s="1">
        <f>'Payback Calculator'!D9</f>
        <v>0</v>
      </c>
      <c r="L4" t="s">
        <v>102</v>
      </c>
      <c r="M4" t="s">
        <v>129</v>
      </c>
      <c r="N4" t="e">
        <f>VLOOKUP(K4,'City solar intensity'!$B$3:$D$60,3,FALSE)</f>
        <v>#N/A</v>
      </c>
      <c r="O4" t="s">
        <v>78</v>
      </c>
      <c r="Q4" t="s">
        <v>103</v>
      </c>
    </row>
    <row r="5" spans="1:24">
      <c r="B5">
        <v>4</v>
      </c>
      <c r="C5" t="s">
        <v>111</v>
      </c>
      <c r="D5" s="1">
        <f>'Payback Calculator'!D10</f>
        <v>0</v>
      </c>
      <c r="E5" t="s">
        <v>112</v>
      </c>
      <c r="F5" t="s">
        <v>110</v>
      </c>
      <c r="I5">
        <v>4</v>
      </c>
      <c r="J5" t="s">
        <v>111</v>
      </c>
      <c r="K5" s="1">
        <f>'Payback Calculator'!D10</f>
        <v>0</v>
      </c>
      <c r="L5" t="s">
        <v>112</v>
      </c>
      <c r="M5" t="s">
        <v>110</v>
      </c>
      <c r="Q5" t="s">
        <v>104</v>
      </c>
    </row>
    <row r="6" spans="1:24">
      <c r="B6">
        <v>5</v>
      </c>
      <c r="C6" t="s">
        <v>113</v>
      </c>
      <c r="D6" s="17">
        <f>'Payback Calculator'!D11</f>
        <v>0</v>
      </c>
      <c r="E6" t="s">
        <v>80</v>
      </c>
      <c r="F6" t="s">
        <v>110</v>
      </c>
      <c r="I6">
        <v>5</v>
      </c>
      <c r="J6" t="s">
        <v>113</v>
      </c>
      <c r="K6" s="18">
        <f>'Payback Calculator'!D11</f>
        <v>0</v>
      </c>
      <c r="L6" t="s">
        <v>80</v>
      </c>
      <c r="M6" t="s">
        <v>110</v>
      </c>
    </row>
    <row r="7" spans="1:24">
      <c r="B7">
        <v>6</v>
      </c>
      <c r="C7" t="s">
        <v>83</v>
      </c>
      <c r="D7" s="1">
        <f>'Payback Calculator'!D12</f>
        <v>0</v>
      </c>
      <c r="E7" t="s">
        <v>82</v>
      </c>
      <c r="F7" t="s">
        <v>110</v>
      </c>
      <c r="I7">
        <v>6</v>
      </c>
      <c r="J7" t="s">
        <v>7</v>
      </c>
      <c r="K7" s="1">
        <f>'Payback Calculator'!D12</f>
        <v>0</v>
      </c>
      <c r="L7" t="s">
        <v>85</v>
      </c>
      <c r="M7" t="s">
        <v>110</v>
      </c>
      <c r="N7">
        <f>K7*1000</f>
        <v>0</v>
      </c>
      <c r="O7" t="s">
        <v>8</v>
      </c>
    </row>
    <row r="8" spans="1:24">
      <c r="B8">
        <v>7</v>
      </c>
      <c r="C8" t="s">
        <v>114</v>
      </c>
      <c r="D8" s="17">
        <f>'Payback Calculator'!D13</f>
        <v>0</v>
      </c>
      <c r="E8" t="s">
        <v>80</v>
      </c>
      <c r="F8" t="s">
        <v>122</v>
      </c>
      <c r="I8">
        <v>7</v>
      </c>
      <c r="J8" t="s">
        <v>10</v>
      </c>
      <c r="K8" s="1">
        <f>'Payback Calculator'!D13</f>
        <v>0</v>
      </c>
      <c r="L8" t="s">
        <v>86</v>
      </c>
      <c r="M8" t="s">
        <v>110</v>
      </c>
      <c r="Q8" t="s">
        <v>148</v>
      </c>
    </row>
    <row r="9" spans="1:24">
      <c r="B9">
        <v>8</v>
      </c>
      <c r="C9" t="s">
        <v>7</v>
      </c>
      <c r="D9" s="1">
        <f>'Payback Calculator'!D14</f>
        <v>0</v>
      </c>
      <c r="E9" t="s">
        <v>84</v>
      </c>
      <c r="F9" t="s">
        <v>110</v>
      </c>
      <c r="G9">
        <f>D9*1000</f>
        <v>0</v>
      </c>
      <c r="H9" t="s">
        <v>8</v>
      </c>
      <c r="I9">
        <v>8</v>
      </c>
      <c r="J9" t="s">
        <v>116</v>
      </c>
      <c r="K9" s="1">
        <f>'Payback Calculator'!D14</f>
        <v>0</v>
      </c>
      <c r="L9" t="s">
        <v>87</v>
      </c>
      <c r="M9" t="s">
        <v>110</v>
      </c>
      <c r="N9" s="2" t="e">
        <f>(K9/100)*K8*((N4*1000)/12)</f>
        <v>#N/A</v>
      </c>
      <c r="O9" t="s">
        <v>12</v>
      </c>
      <c r="Q9" t="s">
        <v>147</v>
      </c>
    </row>
    <row r="10" spans="1:24">
      <c r="B10">
        <v>9</v>
      </c>
      <c r="C10" t="s">
        <v>10</v>
      </c>
      <c r="D10" s="1">
        <f>'Payback Calculator'!D15</f>
        <v>0</v>
      </c>
      <c r="E10" t="s">
        <v>86</v>
      </c>
      <c r="F10" t="s">
        <v>110</v>
      </c>
      <c r="G10" s="2" t="e">
        <f>(D12/100)*((G4*1000)/12)*D11</f>
        <v>#N/A</v>
      </c>
      <c r="H10" t="s">
        <v>12</v>
      </c>
      <c r="I10">
        <v>9</v>
      </c>
      <c r="J10" t="s">
        <v>91</v>
      </c>
      <c r="K10" s="1">
        <f>'Payback Calculator'!D15</f>
        <v>0</v>
      </c>
      <c r="L10" t="s">
        <v>90</v>
      </c>
      <c r="M10" t="s">
        <v>110</v>
      </c>
      <c r="N10" s="2" t="e">
        <f>N9/(K10*10*13.5)*100</f>
        <v>#N/A</v>
      </c>
      <c r="O10" t="s">
        <v>13</v>
      </c>
    </row>
    <row r="11" spans="1:24">
      <c r="B11">
        <v>10</v>
      </c>
      <c r="C11" t="s">
        <v>115</v>
      </c>
      <c r="D11" s="1">
        <f>'Payback Calculator'!D16</f>
        <v>0</v>
      </c>
      <c r="E11" t="s">
        <v>88</v>
      </c>
      <c r="F11" t="s">
        <v>110</v>
      </c>
      <c r="G11" s="5" t="e">
        <f>G10/(G9/D10)</f>
        <v>#N/A</v>
      </c>
      <c r="H11" t="s">
        <v>9</v>
      </c>
      <c r="I11">
        <v>10</v>
      </c>
      <c r="J11" t="s">
        <v>125</v>
      </c>
      <c r="K11" s="17">
        <f>'Payback Calculator'!D16</f>
        <v>0</v>
      </c>
      <c r="L11" t="s">
        <v>81</v>
      </c>
      <c r="M11" t="s">
        <v>110</v>
      </c>
    </row>
    <row r="12" spans="1:24">
      <c r="B12">
        <v>11</v>
      </c>
      <c r="C12" t="s">
        <v>116</v>
      </c>
      <c r="D12" s="1">
        <f>'Payback Calculator'!D17</f>
        <v>0</v>
      </c>
      <c r="E12" t="s">
        <v>87</v>
      </c>
      <c r="F12" t="s">
        <v>110</v>
      </c>
      <c r="I12">
        <v>11</v>
      </c>
      <c r="J12" t="s">
        <v>126</v>
      </c>
      <c r="K12" s="17">
        <f>'Payback Calculator'!D17</f>
        <v>0</v>
      </c>
      <c r="L12" t="s">
        <v>127</v>
      </c>
      <c r="M12" t="s">
        <v>128</v>
      </c>
    </row>
    <row r="13" spans="1:24">
      <c r="B13">
        <v>12</v>
      </c>
      <c r="C13" t="s">
        <v>0</v>
      </c>
      <c r="D13" s="1">
        <f>'Payback Calculator'!D18</f>
        <v>0</v>
      </c>
      <c r="E13" t="s">
        <v>89</v>
      </c>
      <c r="F13" t="s">
        <v>110</v>
      </c>
      <c r="I13">
        <v>12</v>
      </c>
      <c r="J13" t="s">
        <v>0</v>
      </c>
      <c r="K13" s="1">
        <f>'Payback Calculator'!D18</f>
        <v>0</v>
      </c>
      <c r="L13" t="s">
        <v>89</v>
      </c>
      <c r="M13" t="s">
        <v>110</v>
      </c>
    </row>
    <row r="14" spans="1:24">
      <c r="B14">
        <v>13</v>
      </c>
      <c r="C14" t="s">
        <v>117</v>
      </c>
      <c r="D14" s="1">
        <f>'Payback Calculator'!D19</f>
        <v>0</v>
      </c>
      <c r="E14" t="s">
        <v>89</v>
      </c>
      <c r="F14" t="s">
        <v>110</v>
      </c>
      <c r="I14">
        <v>13</v>
      </c>
      <c r="J14" t="s">
        <v>5</v>
      </c>
      <c r="K14" s="7">
        <f>'Payback Calculator'!D19</f>
        <v>0</v>
      </c>
      <c r="L14" t="s">
        <v>102</v>
      </c>
      <c r="M14" t="s">
        <v>110</v>
      </c>
      <c r="N14" t="e">
        <f>K14*(12/K13)</f>
        <v>#DIV/0!</v>
      </c>
      <c r="O14" t="s">
        <v>1</v>
      </c>
    </row>
    <row r="15" spans="1:24">
      <c r="B15">
        <v>14</v>
      </c>
      <c r="C15" t="s">
        <v>5</v>
      </c>
      <c r="D15" s="7">
        <f>'Payback Calculator'!D20</f>
        <v>0</v>
      </c>
      <c r="E15" t="s">
        <v>102</v>
      </c>
      <c r="F15" t="s">
        <v>110</v>
      </c>
      <c r="G15" s="9" t="e">
        <f>D15*(12/D13)+D15*(12/D14)</f>
        <v>#DIV/0!</v>
      </c>
      <c r="H15" t="s">
        <v>1</v>
      </c>
      <c r="I15">
        <v>14</v>
      </c>
      <c r="J15" t="s">
        <v>118</v>
      </c>
      <c r="K15" s="18">
        <f>'Payback Calculator'!D20</f>
        <v>0</v>
      </c>
      <c r="L15" t="s">
        <v>80</v>
      </c>
      <c r="M15" t="s">
        <v>121</v>
      </c>
    </row>
    <row r="16" spans="1:24">
      <c r="B16">
        <v>15</v>
      </c>
      <c r="C16" t="s">
        <v>118</v>
      </c>
      <c r="D16" s="18">
        <f>'Payback Calculator'!D21</f>
        <v>0</v>
      </c>
      <c r="E16" t="s">
        <v>80</v>
      </c>
      <c r="F16" t="s">
        <v>121</v>
      </c>
      <c r="I16">
        <v>15</v>
      </c>
      <c r="J16" t="s">
        <v>93</v>
      </c>
      <c r="K16" s="1">
        <f>'Payback Calculator'!D21</f>
        <v>0</v>
      </c>
      <c r="L16" t="s">
        <v>92</v>
      </c>
      <c r="M16" t="s">
        <v>110</v>
      </c>
    </row>
    <row r="17" spans="2:18">
      <c r="B17">
        <v>16</v>
      </c>
      <c r="C17" t="s">
        <v>93</v>
      </c>
      <c r="D17" s="1">
        <f>'Payback Calculator'!D22</f>
        <v>0</v>
      </c>
      <c r="E17" t="s">
        <v>92</v>
      </c>
      <c r="F17" t="s">
        <v>110</v>
      </c>
      <c r="I17">
        <v>16</v>
      </c>
      <c r="J17" t="s">
        <v>119</v>
      </c>
      <c r="K17" s="10">
        <f>'Payback Calculator'!D22</f>
        <v>0</v>
      </c>
      <c r="L17" t="s">
        <v>97</v>
      </c>
      <c r="M17" t="s">
        <v>110</v>
      </c>
      <c r="N17" s="11">
        <v>0.45</v>
      </c>
      <c r="O17" t="s">
        <v>6</v>
      </c>
    </row>
    <row r="18" spans="2:18">
      <c r="B18">
        <v>17</v>
      </c>
      <c r="C18" t="s">
        <v>119</v>
      </c>
      <c r="D18" s="10">
        <f>'Payback Calculator'!D23</f>
        <v>0</v>
      </c>
      <c r="E18" t="s">
        <v>97</v>
      </c>
      <c r="F18" t="s">
        <v>110</v>
      </c>
      <c r="G18" s="11">
        <v>0.45</v>
      </c>
      <c r="H18" t="s">
        <v>6</v>
      </c>
      <c r="I18">
        <v>17</v>
      </c>
      <c r="J18" t="s">
        <v>3</v>
      </c>
      <c r="K18" s="10">
        <f>'Payback Calculator'!D23</f>
        <v>0</v>
      </c>
      <c r="L18" t="s">
        <v>102</v>
      </c>
      <c r="M18" t="s">
        <v>110</v>
      </c>
    </row>
    <row r="19" spans="2:18">
      <c r="B19">
        <v>18</v>
      </c>
      <c r="C19" t="s">
        <v>3</v>
      </c>
      <c r="D19" s="10">
        <f>'Payback Calculator'!D24</f>
        <v>0</v>
      </c>
      <c r="E19" t="s">
        <v>102</v>
      </c>
      <c r="F19" t="s">
        <v>110</v>
      </c>
      <c r="I19">
        <v>18</v>
      </c>
      <c r="J19" t="s">
        <v>11</v>
      </c>
      <c r="K19" s="12">
        <f>'Payback Calculator'!D24</f>
        <v>0</v>
      </c>
      <c r="L19" t="s">
        <v>102</v>
      </c>
      <c r="M19" t="s">
        <v>110</v>
      </c>
    </row>
    <row r="20" spans="2:18">
      <c r="B20">
        <v>19</v>
      </c>
      <c r="C20" t="s">
        <v>11</v>
      </c>
      <c r="D20" s="12">
        <f>'Payback Calculator'!D25</f>
        <v>0</v>
      </c>
      <c r="E20" t="s">
        <v>102</v>
      </c>
      <c r="F20" t="s">
        <v>110</v>
      </c>
      <c r="I20">
        <v>19</v>
      </c>
      <c r="J20" t="s">
        <v>120</v>
      </c>
      <c r="K20" s="10">
        <f>'Payback Calculator'!D25</f>
        <v>0</v>
      </c>
      <c r="L20" t="s">
        <v>102</v>
      </c>
      <c r="M20" t="s">
        <v>110</v>
      </c>
      <c r="N20" t="e">
        <f>K18/K20</f>
        <v>#DIV/0!</v>
      </c>
      <c r="O20" t="s">
        <v>2</v>
      </c>
      <c r="R20" t="s">
        <v>101</v>
      </c>
    </row>
    <row r="21" spans="2:18">
      <c r="B21">
        <v>20</v>
      </c>
      <c r="C21" t="s">
        <v>120</v>
      </c>
      <c r="D21" s="10">
        <f>'Payback Calculator'!D26</f>
        <v>0</v>
      </c>
      <c r="E21" t="s">
        <v>102</v>
      </c>
      <c r="F21" t="s">
        <v>110</v>
      </c>
      <c r="G21" t="e">
        <f>D19/D21</f>
        <v>#DIV/0!</v>
      </c>
      <c r="H21" t="s">
        <v>2</v>
      </c>
      <c r="I21">
        <v>20</v>
      </c>
      <c r="J21" t="s">
        <v>123</v>
      </c>
      <c r="K21" s="17">
        <f>'Payback Calculator'!D26</f>
        <v>0</v>
      </c>
      <c r="L21" t="s">
        <v>95</v>
      </c>
      <c r="M21" t="s">
        <v>110</v>
      </c>
    </row>
    <row r="22" spans="2:18">
      <c r="B22">
        <v>21</v>
      </c>
      <c r="C22" t="s">
        <v>123</v>
      </c>
      <c r="D22" s="17">
        <f>'Payback Calculator'!D27</f>
        <v>0</v>
      </c>
      <c r="E22" t="s">
        <v>95</v>
      </c>
      <c r="F22" t="s">
        <v>110</v>
      </c>
      <c r="I22">
        <v>21</v>
      </c>
      <c r="J22" t="s">
        <v>4</v>
      </c>
      <c r="K22" s="7">
        <f>'Payback Calculator'!D27</f>
        <v>0</v>
      </c>
      <c r="L22" t="s">
        <v>102</v>
      </c>
      <c r="M22" t="s">
        <v>110</v>
      </c>
    </row>
    <row r="23" spans="2:18">
      <c r="B23">
        <v>22</v>
      </c>
      <c r="C23" t="s">
        <v>4</v>
      </c>
      <c r="D23" s="7">
        <f>'Payback Calculator'!D28</f>
        <v>0</v>
      </c>
      <c r="E23" t="s">
        <v>102</v>
      </c>
      <c r="F23" t="s">
        <v>110</v>
      </c>
      <c r="I23">
        <v>22</v>
      </c>
      <c r="J23" t="s">
        <v>14</v>
      </c>
      <c r="K23" s="7">
        <f>'Payback Calculator'!D28</f>
        <v>0</v>
      </c>
      <c r="L23" t="s">
        <v>96</v>
      </c>
      <c r="M23" t="s">
        <v>130</v>
      </c>
    </row>
    <row r="24" spans="2:18">
      <c r="B24">
        <v>23</v>
      </c>
      <c r="C24" t="s">
        <v>14</v>
      </c>
      <c r="D24" s="7">
        <f>'Payback Calculator'!D29</f>
        <v>0</v>
      </c>
      <c r="E24" t="s">
        <v>96</v>
      </c>
      <c r="F24" t="s">
        <v>124</v>
      </c>
    </row>
    <row r="27" spans="2:18">
      <c r="C27" s="6" t="s">
        <v>98</v>
      </c>
      <c r="J27" s="6" t="s">
        <v>99</v>
      </c>
    </row>
    <row r="28" spans="2:18">
      <c r="C28" t="s">
        <v>138</v>
      </c>
      <c r="D28" s="13" t="e">
        <f>G21*D22*D20/100</f>
        <v>#DIV/0!</v>
      </c>
      <c r="J28" t="s">
        <v>138</v>
      </c>
      <c r="K28" s="13" t="e">
        <f>N20*K21*K19/100</f>
        <v>#DIV/0!</v>
      </c>
    </row>
    <row r="29" spans="2:18">
      <c r="C29" t="s">
        <v>139</v>
      </c>
      <c r="D29" s="13" t="e">
        <f>D15*(12/D13)-(D15*(12/(D13*(1+D16/100))))+D15*(12/D14)-(D15*(12/(D14*(1+D16/100))))</f>
        <v>#DIV/0!</v>
      </c>
      <c r="J29" t="s">
        <v>139</v>
      </c>
      <c r="K29" s="13" t="e">
        <f>K14*(12/K13)-(K14*(12/(K13*(1+K15/100))))</f>
        <v>#DIV/0!</v>
      </c>
    </row>
    <row r="30" spans="2:18">
      <c r="C30" t="s">
        <v>140</v>
      </c>
      <c r="D30" s="9" t="e">
        <f>D5*52*D8*G11*D23/100</f>
        <v>#N/A</v>
      </c>
      <c r="J30" t="s">
        <v>140</v>
      </c>
      <c r="K30" s="9">
        <f>(K17/45)*(K11/100)*K12*K22</f>
        <v>0</v>
      </c>
    </row>
    <row r="31" spans="2:18">
      <c r="C31" t="s">
        <v>141</v>
      </c>
      <c r="D31" s="9" t="e">
        <f>((((D12/100)*G4*1000)/(D12*24))*D12)/(164000*G18)*((D18/D17)*D23)</f>
        <v>#N/A</v>
      </c>
      <c r="J31" t="s">
        <v>141</v>
      </c>
      <c r="K31" s="19" t="e">
        <f>((((K9/100)*N4*1000)/(K9*24))*K9)/(164000*N17)*((K17/K16)*K22)</f>
        <v>#N/A</v>
      </c>
    </row>
    <row r="32" spans="2:18" ht="16" thickBot="1">
      <c r="C32" s="14" t="s">
        <v>142</v>
      </c>
      <c r="D32" s="15">
        <f>D24</f>
        <v>0</v>
      </c>
      <c r="J32" s="14" t="s">
        <v>142</v>
      </c>
      <c r="K32" s="15">
        <f>K23</f>
        <v>0</v>
      </c>
    </row>
    <row r="33" spans="3:11" ht="16" thickTop="1">
      <c r="C33" s="16" t="s">
        <v>143</v>
      </c>
      <c r="D33" s="9" t="e">
        <f>SUM(D28:D32)</f>
        <v>#DIV/0!</v>
      </c>
      <c r="J33" s="16" t="s">
        <v>143</v>
      </c>
      <c r="K33" s="9" t="e">
        <f>SUM(K28:K32)</f>
        <v>#DIV/0!</v>
      </c>
    </row>
    <row r="35" spans="3:11">
      <c r="C35" t="s">
        <v>100</v>
      </c>
      <c r="D35" s="2" t="e">
        <f>D3/D33</f>
        <v>#DIV/0!</v>
      </c>
      <c r="J35" t="s">
        <v>100</v>
      </c>
      <c r="K35" s="2" t="e">
        <f>K3/K33</f>
        <v>#DIV/0!</v>
      </c>
    </row>
  </sheetData>
  <sheetProtection algorithmName="SHA-512" hashValue="saxc9fiXbBOFMS2yJJoEkKNZ0OwRg/J4U8DULyTZO5wlyEKp+JxYfn8qxWnBGUE1pKL/N5QHmvxA8GJTJTHSkQ==" saltValue="BbLpTU8WtoAKTKP2UlwLqA==" spinCount="100000" sheet="1" objects="1" scenarios="1"/>
  <conditionalFormatting sqref="K7:K22">
    <cfRule type="expression" dxfId="5" priority="6">
      <formula>$C$4=$Q$4</formula>
    </cfRule>
  </conditionalFormatting>
  <conditionalFormatting sqref="K6">
    <cfRule type="expression" dxfId="4" priority="5">
      <formula>$C$4=$Q$4</formula>
    </cfRule>
  </conditionalFormatting>
  <conditionalFormatting sqref="K5">
    <cfRule type="expression" dxfId="3" priority="4">
      <formula>$C$4=$Q$4</formula>
    </cfRule>
  </conditionalFormatting>
  <conditionalFormatting sqref="K7:K22">
    <cfRule type="expression" dxfId="2" priority="3">
      <formula>$C$4=$Q$5</formula>
    </cfRule>
  </conditionalFormatting>
  <conditionalFormatting sqref="K5">
    <cfRule type="expression" dxfId="1" priority="2">
      <formula>$C$4=$Q$5</formula>
    </cfRule>
  </conditionalFormatting>
  <conditionalFormatting sqref="K6">
    <cfRule type="expression" dxfId="0" priority="1">
      <formula>$C$4=$Q$5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1E07-98E6-4033-A95B-973ABD1B005E}">
  <sheetPr codeName="Sheet3"/>
  <dimension ref="B3:D60"/>
  <sheetViews>
    <sheetView workbookViewId="0">
      <selection activeCell="H33" sqref="H33"/>
    </sheetView>
  </sheetViews>
  <sheetFormatPr baseColWidth="10" defaultColWidth="8.83203125" defaultRowHeight="15"/>
  <cols>
    <col min="2" max="2" width="15.5" bestFit="1" customWidth="1"/>
    <col min="3" max="3" width="28.6640625" bestFit="1" customWidth="1"/>
    <col min="4" max="4" width="12" bestFit="1" customWidth="1"/>
  </cols>
  <sheetData>
    <row r="3" spans="2:4">
      <c r="B3" t="s">
        <v>15</v>
      </c>
      <c r="C3" t="s">
        <v>16</v>
      </c>
      <c r="D3" t="s">
        <v>67</v>
      </c>
    </row>
    <row r="5" spans="2:4">
      <c r="B5" s="3" t="s">
        <v>48</v>
      </c>
      <c r="C5" s="4">
        <v>151</v>
      </c>
      <c r="D5">
        <f t="shared" ref="D5:D60" si="0">C5/365</f>
        <v>0.41369863013698632</v>
      </c>
    </row>
    <row r="6" spans="2:4">
      <c r="B6" s="3" t="s">
        <v>73</v>
      </c>
      <c r="C6" s="4">
        <v>86</v>
      </c>
      <c r="D6">
        <f t="shared" si="0"/>
        <v>0.23561643835616439</v>
      </c>
    </row>
    <row r="7" spans="2:4">
      <c r="B7" s="3" t="s">
        <v>66</v>
      </c>
      <c r="C7" s="4">
        <v>132</v>
      </c>
      <c r="D7">
        <f t="shared" si="0"/>
        <v>0.36164383561643837</v>
      </c>
    </row>
    <row r="8" spans="2:4">
      <c r="B8" s="3" t="s">
        <v>55</v>
      </c>
      <c r="C8" s="4">
        <v>124</v>
      </c>
      <c r="D8">
        <f t="shared" si="0"/>
        <v>0.33972602739726027</v>
      </c>
    </row>
    <row r="9" spans="2:4">
      <c r="B9" s="3" t="s">
        <v>27</v>
      </c>
      <c r="C9" s="4">
        <v>130</v>
      </c>
      <c r="D9">
        <f t="shared" si="0"/>
        <v>0.35616438356164382</v>
      </c>
    </row>
    <row r="10" spans="2:4">
      <c r="B10" s="3" t="s">
        <v>45</v>
      </c>
      <c r="C10" s="4">
        <v>117</v>
      </c>
      <c r="D10">
        <f t="shared" si="0"/>
        <v>0.32054794520547947</v>
      </c>
    </row>
    <row r="11" spans="2:4">
      <c r="B11" s="3" t="s">
        <v>39</v>
      </c>
      <c r="C11" s="4">
        <v>110</v>
      </c>
      <c r="D11">
        <f t="shared" si="0"/>
        <v>0.30136986301369861</v>
      </c>
    </row>
    <row r="12" spans="2:4">
      <c r="B12" s="3" t="s">
        <v>70</v>
      </c>
      <c r="C12" s="4">
        <v>103</v>
      </c>
      <c r="D12">
        <f t="shared" si="0"/>
        <v>0.28219178082191781</v>
      </c>
    </row>
    <row r="13" spans="2:4">
      <c r="B13" s="3" t="s">
        <v>33</v>
      </c>
      <c r="C13" s="4">
        <v>117</v>
      </c>
      <c r="D13">
        <f t="shared" si="0"/>
        <v>0.32054794520547947</v>
      </c>
    </row>
    <row r="14" spans="2:4">
      <c r="B14" s="3" t="s">
        <v>19</v>
      </c>
      <c r="C14" s="4">
        <v>113</v>
      </c>
      <c r="D14">
        <f t="shared" si="0"/>
        <v>0.30958904109589042</v>
      </c>
    </row>
    <row r="15" spans="2:4">
      <c r="B15" s="3" t="s">
        <v>56</v>
      </c>
      <c r="C15" s="4">
        <v>139</v>
      </c>
      <c r="D15">
        <f t="shared" si="0"/>
        <v>0.38082191780821917</v>
      </c>
    </row>
    <row r="16" spans="2:4">
      <c r="B16" s="3" t="s">
        <v>31</v>
      </c>
      <c r="C16" s="4">
        <v>112</v>
      </c>
      <c r="D16">
        <f t="shared" si="0"/>
        <v>0.30684931506849317</v>
      </c>
    </row>
    <row r="17" spans="2:4">
      <c r="B17" s="3" t="s">
        <v>25</v>
      </c>
      <c r="C17" s="4">
        <v>128</v>
      </c>
      <c r="D17">
        <f t="shared" si="0"/>
        <v>0.35068493150684932</v>
      </c>
    </row>
    <row r="18" spans="2:4">
      <c r="B18" s="3" t="s">
        <v>35</v>
      </c>
      <c r="C18" s="4">
        <v>135</v>
      </c>
      <c r="D18">
        <f t="shared" si="0"/>
        <v>0.36986301369863012</v>
      </c>
    </row>
    <row r="19" spans="2:4">
      <c r="B19" s="3" t="s">
        <v>37</v>
      </c>
      <c r="C19" s="4">
        <v>115</v>
      </c>
      <c r="D19">
        <f t="shared" si="0"/>
        <v>0.31506849315068491</v>
      </c>
    </row>
    <row r="20" spans="2:4">
      <c r="B20" s="3" t="s">
        <v>36</v>
      </c>
      <c r="C20" s="4">
        <v>157</v>
      </c>
      <c r="D20">
        <f t="shared" si="0"/>
        <v>0.43013698630136987</v>
      </c>
    </row>
    <row r="21" spans="2:4">
      <c r="B21" s="3" t="s">
        <v>32</v>
      </c>
      <c r="C21" s="4">
        <v>131</v>
      </c>
      <c r="D21">
        <f t="shared" si="0"/>
        <v>0.35890410958904112</v>
      </c>
    </row>
    <row r="22" spans="2:4">
      <c r="B22" s="3" t="s">
        <v>50</v>
      </c>
      <c r="C22" s="4">
        <v>140</v>
      </c>
      <c r="D22">
        <f t="shared" si="0"/>
        <v>0.38356164383561642</v>
      </c>
    </row>
    <row r="23" spans="2:4">
      <c r="B23" s="3" t="s">
        <v>20</v>
      </c>
      <c r="C23" s="4">
        <v>129</v>
      </c>
      <c r="D23">
        <f t="shared" si="0"/>
        <v>0.35342465753424657</v>
      </c>
    </row>
    <row r="24" spans="2:4">
      <c r="B24" s="3" t="s">
        <v>30</v>
      </c>
      <c r="C24" s="4">
        <v>115</v>
      </c>
      <c r="D24">
        <f t="shared" si="0"/>
        <v>0.31506849315068491</v>
      </c>
    </row>
    <row r="25" spans="2:4">
      <c r="B25" s="3" t="s">
        <v>28</v>
      </c>
      <c r="C25" s="4">
        <v>130</v>
      </c>
      <c r="D25">
        <f t="shared" si="0"/>
        <v>0.35616438356164382</v>
      </c>
    </row>
    <row r="26" spans="2:4">
      <c r="B26" s="3" t="s">
        <v>52</v>
      </c>
      <c r="C26" s="4">
        <v>118</v>
      </c>
      <c r="D26">
        <f t="shared" si="0"/>
        <v>0.32328767123287672</v>
      </c>
    </row>
    <row r="27" spans="2:4">
      <c r="B27" s="3" t="s">
        <v>44</v>
      </c>
      <c r="C27" s="4">
        <v>118</v>
      </c>
      <c r="D27">
        <f t="shared" si="0"/>
        <v>0.32328767123287672</v>
      </c>
    </row>
    <row r="28" spans="2:4">
      <c r="B28" s="3" t="s">
        <v>53</v>
      </c>
      <c r="C28" s="4">
        <v>136</v>
      </c>
      <c r="D28">
        <f t="shared" si="0"/>
        <v>0.37260273972602742</v>
      </c>
    </row>
    <row r="29" spans="2:4">
      <c r="B29" s="3" t="s">
        <v>18</v>
      </c>
      <c r="C29" s="4">
        <v>140</v>
      </c>
      <c r="D29">
        <f t="shared" si="0"/>
        <v>0.38356164383561642</v>
      </c>
    </row>
    <row r="30" spans="2:4">
      <c r="B30" s="3" t="s">
        <v>46</v>
      </c>
      <c r="C30" s="4">
        <v>118</v>
      </c>
      <c r="D30">
        <f t="shared" si="0"/>
        <v>0.32328767123287672</v>
      </c>
    </row>
    <row r="31" spans="2:4">
      <c r="B31" s="3" t="s">
        <v>40</v>
      </c>
      <c r="C31" s="4">
        <v>125</v>
      </c>
      <c r="D31">
        <f t="shared" si="0"/>
        <v>0.34246575342465752</v>
      </c>
    </row>
    <row r="32" spans="2:4">
      <c r="B32" s="3" t="s">
        <v>54</v>
      </c>
      <c r="C32" s="4">
        <v>146</v>
      </c>
      <c r="D32">
        <f t="shared" si="0"/>
        <v>0.4</v>
      </c>
    </row>
    <row r="33" spans="2:4">
      <c r="B33" s="3" t="s">
        <v>60</v>
      </c>
      <c r="C33" s="4">
        <v>142</v>
      </c>
      <c r="D33">
        <f t="shared" si="0"/>
        <v>0.38904109589041097</v>
      </c>
    </row>
    <row r="34" spans="2:4">
      <c r="B34" s="3" t="s">
        <v>47</v>
      </c>
      <c r="C34" s="4">
        <v>113</v>
      </c>
      <c r="D34">
        <f t="shared" si="0"/>
        <v>0.30958904109589042</v>
      </c>
    </row>
    <row r="35" spans="2:4">
      <c r="B35" s="3" t="s">
        <v>62</v>
      </c>
      <c r="C35" s="4">
        <v>112</v>
      </c>
      <c r="D35">
        <f t="shared" si="0"/>
        <v>0.30684931506849317</v>
      </c>
    </row>
    <row r="36" spans="2:4">
      <c r="B36" s="3" t="s">
        <v>72</v>
      </c>
      <c r="C36" s="4">
        <v>106</v>
      </c>
      <c r="D36">
        <f t="shared" si="0"/>
        <v>0.29041095890410956</v>
      </c>
    </row>
    <row r="37" spans="2:4">
      <c r="B37" s="3" t="s">
        <v>41</v>
      </c>
      <c r="C37" s="4">
        <v>117</v>
      </c>
      <c r="D37">
        <f t="shared" si="0"/>
        <v>0.32054794520547947</v>
      </c>
    </row>
    <row r="38" spans="2:4">
      <c r="B38" s="3" t="s">
        <v>65</v>
      </c>
      <c r="C38" s="4">
        <v>117</v>
      </c>
      <c r="D38">
        <f t="shared" si="0"/>
        <v>0.32054794520547947</v>
      </c>
    </row>
    <row r="39" spans="2:4">
      <c r="B39" s="3" t="s">
        <v>17</v>
      </c>
      <c r="C39" s="4">
        <v>112</v>
      </c>
      <c r="D39">
        <f t="shared" si="0"/>
        <v>0.30684931506849317</v>
      </c>
    </row>
    <row r="40" spans="2:4">
      <c r="B40" s="3" t="s">
        <v>61</v>
      </c>
      <c r="C40" s="4">
        <v>129</v>
      </c>
      <c r="D40">
        <f t="shared" si="0"/>
        <v>0.35342465753424657</v>
      </c>
    </row>
    <row r="41" spans="2:4">
      <c r="B41" s="3" t="s">
        <v>43</v>
      </c>
      <c r="C41" s="4">
        <v>131</v>
      </c>
      <c r="D41">
        <f t="shared" si="0"/>
        <v>0.35890410958904112</v>
      </c>
    </row>
    <row r="42" spans="2:4">
      <c r="B42" s="3" t="s">
        <v>59</v>
      </c>
      <c r="C42" s="4">
        <v>119</v>
      </c>
      <c r="D42">
        <f t="shared" si="0"/>
        <v>0.32602739726027397</v>
      </c>
    </row>
    <row r="43" spans="2:4">
      <c r="B43" s="3" t="s">
        <v>21</v>
      </c>
      <c r="C43" s="4">
        <v>116</v>
      </c>
      <c r="D43">
        <f t="shared" si="0"/>
        <v>0.31780821917808222</v>
      </c>
    </row>
    <row r="44" spans="2:4">
      <c r="B44" s="3" t="s">
        <v>22</v>
      </c>
      <c r="C44" s="4">
        <v>147</v>
      </c>
      <c r="D44">
        <f t="shared" si="0"/>
        <v>0.40273972602739727</v>
      </c>
    </row>
    <row r="45" spans="2:4">
      <c r="B45" s="3" t="s">
        <v>42</v>
      </c>
      <c r="C45" s="4">
        <v>96</v>
      </c>
      <c r="D45">
        <f t="shared" si="0"/>
        <v>0.26301369863013696</v>
      </c>
    </row>
    <row r="46" spans="2:4">
      <c r="B46" s="3" t="s">
        <v>58</v>
      </c>
      <c r="C46" s="4">
        <v>120</v>
      </c>
      <c r="D46">
        <f t="shared" si="0"/>
        <v>0.32876712328767121</v>
      </c>
    </row>
    <row r="47" spans="2:4">
      <c r="B47" s="3" t="s">
        <v>51</v>
      </c>
      <c r="C47" s="4">
        <v>134</v>
      </c>
      <c r="D47">
        <f t="shared" si="0"/>
        <v>0.36712328767123287</v>
      </c>
    </row>
    <row r="48" spans="2:4">
      <c r="B48" s="3" t="s">
        <v>23</v>
      </c>
      <c r="C48" s="4">
        <v>131</v>
      </c>
      <c r="D48">
        <f t="shared" si="0"/>
        <v>0.35890410958904112</v>
      </c>
    </row>
    <row r="49" spans="2:4">
      <c r="B49" s="3" t="s">
        <v>24</v>
      </c>
      <c r="C49" s="4">
        <v>136</v>
      </c>
      <c r="D49">
        <f t="shared" si="0"/>
        <v>0.37260273972602742</v>
      </c>
    </row>
    <row r="50" spans="2:4">
      <c r="B50" s="3" t="s">
        <v>29</v>
      </c>
      <c r="C50" s="4">
        <v>130</v>
      </c>
      <c r="D50">
        <f t="shared" si="0"/>
        <v>0.35616438356164382</v>
      </c>
    </row>
    <row r="51" spans="2:4">
      <c r="B51" s="3" t="s">
        <v>26</v>
      </c>
      <c r="C51" s="4">
        <v>137</v>
      </c>
      <c r="D51">
        <f t="shared" si="0"/>
        <v>0.37534246575342467</v>
      </c>
    </row>
    <row r="52" spans="2:4">
      <c r="B52" s="3" t="s">
        <v>34</v>
      </c>
      <c r="C52" s="4">
        <v>92</v>
      </c>
      <c r="D52">
        <f t="shared" si="0"/>
        <v>0.25205479452054796</v>
      </c>
    </row>
    <row r="53" spans="2:4">
      <c r="B53" s="3" t="s">
        <v>71</v>
      </c>
      <c r="C53" s="4">
        <v>112</v>
      </c>
      <c r="D53">
        <f t="shared" si="0"/>
        <v>0.30684931506849317</v>
      </c>
    </row>
    <row r="54" spans="2:4">
      <c r="B54" s="3" t="s">
        <v>49</v>
      </c>
      <c r="C54" s="4">
        <v>154</v>
      </c>
      <c r="D54">
        <f t="shared" si="0"/>
        <v>0.42191780821917807</v>
      </c>
    </row>
    <row r="55" spans="2:4">
      <c r="B55" s="3" t="s">
        <v>63</v>
      </c>
      <c r="C55" s="4">
        <v>124</v>
      </c>
      <c r="D55">
        <f t="shared" si="0"/>
        <v>0.33972602739726027</v>
      </c>
    </row>
    <row r="56" spans="2:4">
      <c r="B56" s="3" t="s">
        <v>68</v>
      </c>
      <c r="C56" s="4">
        <v>89</v>
      </c>
      <c r="D56">
        <f t="shared" si="0"/>
        <v>0.24383561643835616</v>
      </c>
    </row>
    <row r="57" spans="2:4">
      <c r="B57" s="3" t="s">
        <v>57</v>
      </c>
      <c r="C57" s="4">
        <v>123</v>
      </c>
      <c r="D57">
        <f t="shared" si="0"/>
        <v>0.33698630136986302</v>
      </c>
    </row>
    <row r="58" spans="2:4">
      <c r="B58" s="3" t="s">
        <v>38</v>
      </c>
      <c r="C58" s="4">
        <v>118</v>
      </c>
      <c r="D58">
        <f t="shared" si="0"/>
        <v>0.32328767123287672</v>
      </c>
    </row>
    <row r="59" spans="2:4">
      <c r="B59" s="3" t="s">
        <v>64</v>
      </c>
      <c r="C59" s="4">
        <v>126</v>
      </c>
      <c r="D59">
        <f t="shared" si="0"/>
        <v>0.34520547945205482</v>
      </c>
    </row>
    <row r="60" spans="2:4">
      <c r="B60" s="3" t="s">
        <v>69</v>
      </c>
      <c r="C60" s="4">
        <v>104</v>
      </c>
      <c r="D60">
        <f t="shared" si="0"/>
        <v>0.28493150684931506</v>
      </c>
    </row>
  </sheetData>
  <sheetProtection algorithmName="SHA-512" hashValue="YLofYRBpIDdgiotZ6jt3T5oorzp5lPA0TCkR/3Pq9U3R5iCKOV5tYlhtO0WfqmBE8HuNrcVsM7uhcfWGuhBtrQ==" saltValue="wG0ml4l4ilcpDcf7XYzUt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Payback Calculator</vt:lpstr>
      <vt:lpstr>Back end calculations</vt:lpstr>
      <vt:lpstr>City solar intensity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Otto;Isaac Toussie</dc:creator>
  <cp:lastModifiedBy>Isaac Toussie</cp:lastModifiedBy>
  <dcterms:created xsi:type="dcterms:W3CDTF">2018-02-28T19:35:41Z</dcterms:created>
  <dcterms:modified xsi:type="dcterms:W3CDTF">2018-06-26T19:09:18Z</dcterms:modified>
</cp:coreProperties>
</file>